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avans-my.sharepoint.com/personal/awv_breukel_avans_nl/Documents/MyOneDrive/avans/lectoraat/solar2/BC excel TERTS/"/>
    </mc:Choice>
  </mc:AlternateContent>
  <xr:revisionPtr revIDLastSave="6" documentId="8_{70DECCBE-8271-4EB0-B380-DD0C1E05B882}" xr6:coauthVersionLast="47" xr6:coauthVersionMax="47" xr10:uidLastSave="{2B4945F3-8C50-4940-8DFA-AA8BD243DE32}"/>
  <bookViews>
    <workbookView xWindow="-120" yWindow="-120" windowWidth="29040" windowHeight="15840" xr2:uid="{00000000-000D-0000-FFFF-FFFF00000000}"/>
  </bookViews>
  <sheets>
    <sheet name="BC Ecologische Isolatie" sheetId="6" r:id="rId1"/>
    <sheet name="Weegmatrix ecologische Isolatie" sheetId="8" r:id="rId2"/>
    <sheet name="BC Gevel+Vloerisolatie" sheetId="43" r:id="rId3"/>
    <sheet name="Weegmatrix Gevel+Vloerisolatie" sheetId="44" r:id="rId4"/>
    <sheet name="BC Vacuumbeglazing" sheetId="39" r:id="rId5"/>
    <sheet name="Weegmatrix vacuumbeglazing" sheetId="40" r:id="rId6"/>
    <sheet name="BC PV-basis" sheetId="15" r:id="rId7"/>
    <sheet name="Weegmatrix PV-basis" sheetId="16" r:id="rId8"/>
    <sheet name="BC PV-design" sheetId="21" r:id="rId9"/>
    <sheet name="Weegmatrix PV-design" sheetId="23" r:id="rId10"/>
    <sheet name="BC Zonneboiler" sheetId="45" r:id="rId11"/>
    <sheet name="Weegmatrix Zonneboiler" sheetId="46" r:id="rId12"/>
    <sheet name="BC WP-LW" sheetId="17" r:id="rId13"/>
    <sheet name="Weegmatrix WP-LW" sheetId="22" r:id="rId14"/>
    <sheet name="BC WP-LW-grotere zaak" sheetId="24" r:id="rId15"/>
    <sheet name="Weegmatrix WP LW-groot" sheetId="25" r:id="rId16"/>
    <sheet name="BC Warmtepomp-LW-hybride" sheetId="11" r:id="rId17"/>
    <sheet name="Weegmatrix warmtepomp hybride" sheetId="7" r:id="rId18"/>
    <sheet name="BC Combi PVT - WP - buffervat" sheetId="14" r:id="rId19"/>
    <sheet name="Weegmatrix PVT WP buffervat" sheetId="28" r:id="rId20"/>
    <sheet name="BC WP boiler + PV" sheetId="47" r:id="rId21"/>
    <sheet name="Weegmatrix WP boiler + PV" sheetId="48" r:id="rId22"/>
    <sheet name="BC LED" sheetId="1" r:id="rId23"/>
    <sheet name="Weegmatrix LED" sheetId="2" r:id="rId24"/>
    <sheet name="BC Batterij" sheetId="10" r:id="rId25"/>
    <sheet name="Weegmatrix Batterij" sheetId="12" r:id="rId26"/>
    <sheet name="BC maatwerk Batterij" sheetId="49" r:id="rId27"/>
    <sheet name="BC-Brandstofcel" sheetId="37" r:id="rId28"/>
    <sheet name="Weegmatrix Brandstofcel" sheetId="38" r:id="rId29"/>
    <sheet name="BC WP-WW-BEO-WKO" sheetId="19" r:id="rId30"/>
    <sheet name="Weegmatrix WP Beo-grond" sheetId="26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5" l="1"/>
  <c r="C15" i="15"/>
  <c r="D15" i="15"/>
  <c r="E15" i="15"/>
  <c r="F15" i="15"/>
  <c r="F21" i="15" s="1"/>
  <c r="G15" i="15"/>
  <c r="G21" i="15" s="1"/>
  <c r="H15" i="15"/>
  <c r="H21" i="15" s="1"/>
  <c r="I15" i="15"/>
  <c r="J15" i="15"/>
  <c r="K15" i="15"/>
  <c r="L15" i="15"/>
  <c r="L21" i="15" s="1"/>
  <c r="M15" i="15"/>
  <c r="M21" i="15" s="1"/>
  <c r="N15" i="15"/>
  <c r="N21" i="15" s="1"/>
  <c r="O15" i="15"/>
  <c r="O21" i="15" s="1"/>
  <c r="P15" i="15"/>
  <c r="P21" i="15" s="1"/>
  <c r="Q15" i="15"/>
  <c r="R15" i="15"/>
  <c r="S15" i="15"/>
  <c r="T15" i="15"/>
  <c r="U15" i="15"/>
  <c r="V15" i="15"/>
  <c r="V21" i="15" s="1"/>
  <c r="W15" i="15"/>
  <c r="W21" i="15" s="1"/>
  <c r="X15" i="15"/>
  <c r="X21" i="15" s="1"/>
  <c r="Y15" i="15"/>
  <c r="Y21" i="15" s="1"/>
  <c r="Z15" i="15"/>
  <c r="Z21" i="15" s="1"/>
  <c r="AA15" i="15"/>
  <c r="C21" i="15"/>
  <c r="D21" i="15"/>
  <c r="E21" i="15"/>
  <c r="I21" i="15"/>
  <c r="J21" i="15"/>
  <c r="K21" i="15"/>
  <c r="Q21" i="15"/>
  <c r="R21" i="15"/>
  <c r="S21" i="15"/>
  <c r="T21" i="15"/>
  <c r="U21" i="15"/>
  <c r="AA21" i="15"/>
  <c r="C8" i="15"/>
  <c r="C14" i="15" s="1"/>
  <c r="C16" i="15" s="1"/>
  <c r="D8" i="15"/>
  <c r="D14" i="15" s="1"/>
  <c r="D16" i="15" s="1"/>
  <c r="D18" i="15" s="1"/>
  <c r="E8" i="15"/>
  <c r="E14" i="15" s="1"/>
  <c r="E16" i="15" s="1"/>
  <c r="E18" i="15" s="1"/>
  <c r="F8" i="15"/>
  <c r="F14" i="15" s="1"/>
  <c r="F16" i="15" s="1"/>
  <c r="F18" i="15" s="1"/>
  <c r="G8" i="15"/>
  <c r="G14" i="15" s="1"/>
  <c r="H8" i="15"/>
  <c r="H14" i="15" s="1"/>
  <c r="I8" i="15"/>
  <c r="I14" i="15" s="1"/>
  <c r="I16" i="15" s="1"/>
  <c r="I18" i="15" s="1"/>
  <c r="J8" i="15"/>
  <c r="J14" i="15" s="1"/>
  <c r="J16" i="15" s="1"/>
  <c r="J18" i="15" s="1"/>
  <c r="K8" i="15"/>
  <c r="K14" i="15" s="1"/>
  <c r="K16" i="15" s="1"/>
  <c r="L8" i="15"/>
  <c r="L14" i="15" s="1"/>
  <c r="L16" i="15" s="1"/>
  <c r="L18" i="15" s="1"/>
  <c r="M8" i="15"/>
  <c r="M14" i="15" s="1"/>
  <c r="M16" i="15" s="1"/>
  <c r="M18" i="15" s="1"/>
  <c r="N8" i="15"/>
  <c r="N14" i="15" s="1"/>
  <c r="N16" i="15" s="1"/>
  <c r="N18" i="15" s="1"/>
  <c r="O8" i="15"/>
  <c r="O14" i="15" s="1"/>
  <c r="P8" i="15"/>
  <c r="P14" i="15" s="1"/>
  <c r="Q8" i="15"/>
  <c r="Q14" i="15" s="1"/>
  <c r="Q16" i="15" s="1"/>
  <c r="Q18" i="15" s="1"/>
  <c r="R8" i="15"/>
  <c r="R14" i="15" s="1"/>
  <c r="R16" i="15" s="1"/>
  <c r="R18" i="15" s="1"/>
  <c r="S8" i="15"/>
  <c r="S14" i="15" s="1"/>
  <c r="S16" i="15" s="1"/>
  <c r="S18" i="15" s="1"/>
  <c r="T8" i="15"/>
  <c r="T14" i="15" s="1"/>
  <c r="T16" i="15" s="1"/>
  <c r="T18" i="15" s="1"/>
  <c r="U8" i="15"/>
  <c r="U14" i="15" s="1"/>
  <c r="U16" i="15" s="1"/>
  <c r="U18" i="15" s="1"/>
  <c r="V8" i="15"/>
  <c r="V14" i="15" s="1"/>
  <c r="V16" i="15" s="1"/>
  <c r="V18" i="15" s="1"/>
  <c r="W8" i="15"/>
  <c r="W14" i="15" s="1"/>
  <c r="W16" i="15" s="1"/>
  <c r="W18" i="15" s="1"/>
  <c r="X8" i="15"/>
  <c r="X14" i="15" s="1"/>
  <c r="Y8" i="15"/>
  <c r="Y14" i="15" s="1"/>
  <c r="Y16" i="15" s="1"/>
  <c r="Y18" i="15" s="1"/>
  <c r="Z8" i="15"/>
  <c r="Z14" i="15" s="1"/>
  <c r="Z16" i="15" s="1"/>
  <c r="Z18" i="15" s="1"/>
  <c r="AA8" i="15"/>
  <c r="AA14" i="15" s="1"/>
  <c r="AA16" i="15" s="1"/>
  <c r="AA18" i="15" s="1"/>
  <c r="C25" i="49"/>
  <c r="D16" i="49"/>
  <c r="D22" i="49" s="1"/>
  <c r="E16" i="49"/>
  <c r="E22" i="49" s="1"/>
  <c r="F16" i="49"/>
  <c r="F22" i="49" s="1"/>
  <c r="G16" i="49"/>
  <c r="G22" i="49" s="1"/>
  <c r="H16" i="49"/>
  <c r="H22" i="49" s="1"/>
  <c r="I16" i="49"/>
  <c r="I22" i="49" s="1"/>
  <c r="J16" i="49"/>
  <c r="J22" i="49" s="1"/>
  <c r="K16" i="49"/>
  <c r="K22" i="49" s="1"/>
  <c r="L16" i="49"/>
  <c r="L22" i="49" s="1"/>
  <c r="C16" i="49"/>
  <c r="C22" i="49"/>
  <c r="N36" i="49"/>
  <c r="M36" i="49"/>
  <c r="L9" i="49"/>
  <c r="L15" i="49" s="1"/>
  <c r="L17" i="49" s="1"/>
  <c r="K9" i="49"/>
  <c r="K15" i="49" s="1"/>
  <c r="J9" i="49"/>
  <c r="J15" i="49" s="1"/>
  <c r="J17" i="49" s="1"/>
  <c r="J19" i="49" s="1"/>
  <c r="I9" i="49"/>
  <c r="I15" i="49" s="1"/>
  <c r="H9" i="49"/>
  <c r="H15" i="49" s="1"/>
  <c r="G9" i="49"/>
  <c r="G15" i="49" s="1"/>
  <c r="F9" i="49"/>
  <c r="F15" i="49" s="1"/>
  <c r="E9" i="49"/>
  <c r="E15" i="49" s="1"/>
  <c r="D9" i="49"/>
  <c r="D15" i="49" s="1"/>
  <c r="D17" i="49" s="1"/>
  <c r="C9" i="49"/>
  <c r="C15" i="49" s="1"/>
  <c r="C8" i="10"/>
  <c r="H17" i="49" l="1"/>
  <c r="F17" i="49"/>
  <c r="F19" i="49" s="1"/>
  <c r="F20" i="49" s="1"/>
  <c r="F21" i="49" s="1"/>
  <c r="F26" i="49" s="1"/>
  <c r="F36" i="49" s="1"/>
  <c r="H19" i="49"/>
  <c r="I17" i="49"/>
  <c r="I19" i="49" s="1"/>
  <c r="L19" i="49"/>
  <c r="L20" i="49" s="1"/>
  <c r="L21" i="49" s="1"/>
  <c r="L26" i="49" s="1"/>
  <c r="L36" i="49" s="1"/>
  <c r="D19" i="49"/>
  <c r="D20" i="49" s="1"/>
  <c r="D21" i="49" s="1"/>
  <c r="D26" i="49" s="1"/>
  <c r="D36" i="49" s="1"/>
  <c r="E17" i="49"/>
  <c r="E19" i="49" s="1"/>
  <c r="K18" i="15"/>
  <c r="K19" i="15" s="1"/>
  <c r="K20" i="15" s="1"/>
  <c r="C18" i="15"/>
  <c r="C19" i="15" s="1"/>
  <c r="C20" i="15" s="1"/>
  <c r="X16" i="15"/>
  <c r="X18" i="15" s="1"/>
  <c r="X19" i="15" s="1"/>
  <c r="X20" i="15" s="1"/>
  <c r="P16" i="15"/>
  <c r="P18" i="15" s="1"/>
  <c r="P19" i="15" s="1"/>
  <c r="P20" i="15" s="1"/>
  <c r="H16" i="15"/>
  <c r="H18" i="15" s="1"/>
  <c r="O16" i="15"/>
  <c r="O18" i="15" s="1"/>
  <c r="G16" i="15"/>
  <c r="G18" i="15" s="1"/>
  <c r="G19" i="15"/>
  <c r="G20" i="15" s="1"/>
  <c r="D19" i="15"/>
  <c r="D20" i="15" s="1"/>
  <c r="E20" i="15"/>
  <c r="U19" i="15"/>
  <c r="U20" i="15" s="1"/>
  <c r="T19" i="15"/>
  <c r="T20" i="15" s="1"/>
  <c r="R19" i="15"/>
  <c r="R20" i="15" s="1"/>
  <c r="J19" i="15"/>
  <c r="J20" i="15"/>
  <c r="M19" i="15"/>
  <c r="M20" i="15"/>
  <c r="W19" i="15"/>
  <c r="W20" i="15" s="1"/>
  <c r="V19" i="15"/>
  <c r="V20" i="15" s="1"/>
  <c r="S19" i="15"/>
  <c r="S20" i="15" s="1"/>
  <c r="Z19" i="15"/>
  <c r="Z20" i="15" s="1"/>
  <c r="Y19" i="15"/>
  <c r="Y20" i="15" s="1"/>
  <c r="Q19" i="15"/>
  <c r="Q20" i="15" s="1"/>
  <c r="I19" i="15"/>
  <c r="I20" i="15" s="1"/>
  <c r="L19" i="15"/>
  <c r="L20" i="15" s="1"/>
  <c r="H19" i="15"/>
  <c r="H20" i="15" s="1"/>
  <c r="O19" i="15"/>
  <c r="O20" i="15" s="1"/>
  <c r="N19" i="15"/>
  <c r="N20" i="15" s="1"/>
  <c r="F19" i="15"/>
  <c r="F20" i="15" s="1"/>
  <c r="AA19" i="15"/>
  <c r="AA20" i="15" s="1"/>
  <c r="G17" i="49"/>
  <c r="G19" i="49" s="1"/>
  <c r="K17" i="49"/>
  <c r="K19" i="49" s="1"/>
  <c r="K20" i="49" s="1"/>
  <c r="K21" i="49" s="1"/>
  <c r="K26" i="49" s="1"/>
  <c r="K36" i="49" s="1"/>
  <c r="C17" i="49"/>
  <c r="C19" i="49" s="1"/>
  <c r="C20" i="49" s="1"/>
  <c r="G20" i="49"/>
  <c r="G21" i="49" s="1"/>
  <c r="G26" i="49" s="1"/>
  <c r="G36" i="49" s="1"/>
  <c r="I20" i="49"/>
  <c r="I21" i="49" s="1"/>
  <c r="I26" i="49" s="1"/>
  <c r="I36" i="49" s="1"/>
  <c r="H20" i="49"/>
  <c r="J20" i="49"/>
  <c r="J21" i="49" s="1"/>
  <c r="J26" i="49" s="1"/>
  <c r="J36" i="49" s="1"/>
  <c r="E20" i="49"/>
  <c r="E21" i="49" s="1"/>
  <c r="E26" i="49" s="1"/>
  <c r="E36" i="49" s="1"/>
  <c r="H21" i="49" l="1"/>
  <c r="H26" i="49" s="1"/>
  <c r="H36" i="49" s="1"/>
  <c r="C21" i="49"/>
  <c r="C26" i="49" s="1"/>
  <c r="C29" i="49" s="1"/>
  <c r="C32" i="49" s="1"/>
  <c r="C33" i="49" s="1"/>
  <c r="E29" i="49" l="1"/>
  <c r="F29" i="49" s="1"/>
  <c r="G29" i="49" s="1"/>
  <c r="H29" i="49" s="1"/>
  <c r="I29" i="49" s="1"/>
  <c r="J29" i="49" s="1"/>
  <c r="K29" i="49" s="1"/>
  <c r="L29" i="49" s="1"/>
  <c r="M29" i="49" s="1"/>
  <c r="N29" i="49" s="1"/>
  <c r="C36" i="49"/>
  <c r="E39" i="49" s="1"/>
  <c r="F39" i="49" s="1"/>
  <c r="G39" i="49" s="1"/>
  <c r="H39" i="49" s="1"/>
  <c r="I39" i="49" s="1"/>
  <c r="J39" i="49" s="1"/>
  <c r="K39" i="49" s="1"/>
  <c r="L39" i="49" s="1"/>
  <c r="M39" i="49" s="1"/>
  <c r="N39" i="49" s="1"/>
  <c r="C39" i="49"/>
  <c r="C42" i="49" s="1"/>
  <c r="C43" i="49" s="1"/>
  <c r="D8" i="37" l="1"/>
  <c r="E8" i="37"/>
  <c r="F8" i="37"/>
  <c r="G8" i="37"/>
  <c r="H8" i="37"/>
  <c r="I8" i="37"/>
  <c r="J8" i="37"/>
  <c r="K8" i="37"/>
  <c r="L8" i="37"/>
  <c r="M8" i="37"/>
  <c r="N8" i="37"/>
  <c r="O8" i="37"/>
  <c r="P8" i="37"/>
  <c r="Q8" i="37"/>
  <c r="R8" i="37"/>
  <c r="S8" i="37"/>
  <c r="T8" i="37"/>
  <c r="U8" i="37"/>
  <c r="V8" i="37"/>
  <c r="C8" i="37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C16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AL9" i="19"/>
  <c r="AM9" i="19"/>
  <c r="AN9" i="19"/>
  <c r="AO9" i="19"/>
  <c r="AP9" i="19"/>
  <c r="C9" i="19"/>
  <c r="D15" i="37"/>
  <c r="E15" i="37"/>
  <c r="F15" i="37"/>
  <c r="G15" i="37"/>
  <c r="H15" i="37"/>
  <c r="I15" i="37"/>
  <c r="J15" i="37"/>
  <c r="K15" i="37"/>
  <c r="L15" i="37"/>
  <c r="M15" i="37"/>
  <c r="N15" i="37"/>
  <c r="O15" i="37"/>
  <c r="P15" i="37"/>
  <c r="Q15" i="37"/>
  <c r="R15" i="37"/>
  <c r="S15" i="37"/>
  <c r="T15" i="37"/>
  <c r="U15" i="37"/>
  <c r="V15" i="37"/>
  <c r="C15" i="37"/>
  <c r="C8" i="12" l="1"/>
  <c r="D15" i="10"/>
  <c r="E15" i="10"/>
  <c r="F15" i="10"/>
  <c r="G15" i="10"/>
  <c r="H15" i="10"/>
  <c r="I15" i="10"/>
  <c r="J15" i="10"/>
  <c r="K15" i="10"/>
  <c r="L15" i="10"/>
  <c r="C15" i="10"/>
  <c r="D8" i="10"/>
  <c r="E8" i="10"/>
  <c r="F8" i="10"/>
  <c r="G8" i="10"/>
  <c r="H8" i="10"/>
  <c r="I8" i="10"/>
  <c r="J8" i="10"/>
  <c r="K8" i="10"/>
  <c r="L8" i="10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C14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C7" i="1"/>
  <c r="C8" i="1"/>
  <c r="C8" i="48"/>
  <c r="C7" i="48"/>
  <c r="C28" i="47"/>
  <c r="E28" i="47" s="1"/>
  <c r="C23" i="47" s="1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C15" i="14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C16" i="11"/>
  <c r="C25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C9" i="11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C16" i="24"/>
  <c r="C25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AD9" i="24"/>
  <c r="AE9" i="24"/>
  <c r="AF9" i="24"/>
  <c r="AG9" i="24"/>
  <c r="AH9" i="24"/>
  <c r="AI9" i="24"/>
  <c r="AJ9" i="24"/>
  <c r="AK9" i="24"/>
  <c r="AL9" i="24"/>
  <c r="AM9" i="24"/>
  <c r="AN9" i="24"/>
  <c r="AO9" i="24"/>
  <c r="AP9" i="24"/>
  <c r="C9" i="24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C16" i="17"/>
  <c r="C25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C9" i="17"/>
  <c r="C8" i="46"/>
  <c r="D8" i="45"/>
  <c r="E8" i="45"/>
  <c r="F8" i="45"/>
  <c r="G8" i="45"/>
  <c r="H8" i="45"/>
  <c r="I8" i="45"/>
  <c r="J8" i="45"/>
  <c r="K8" i="45"/>
  <c r="L8" i="45"/>
  <c r="M8" i="45"/>
  <c r="N8" i="45"/>
  <c r="O8" i="45"/>
  <c r="P8" i="45"/>
  <c r="Q8" i="45"/>
  <c r="R8" i="45"/>
  <c r="S8" i="45"/>
  <c r="T8" i="45"/>
  <c r="U8" i="45"/>
  <c r="V8" i="45"/>
  <c r="C8" i="45"/>
  <c r="C24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C15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C8" i="21"/>
  <c r="D8" i="39"/>
  <c r="E8" i="39"/>
  <c r="F8" i="39"/>
  <c r="G8" i="39"/>
  <c r="H8" i="39"/>
  <c r="I8" i="39"/>
  <c r="J8" i="39"/>
  <c r="K8" i="39"/>
  <c r="L8" i="39"/>
  <c r="M8" i="39"/>
  <c r="N8" i="39"/>
  <c r="O8" i="39"/>
  <c r="P8" i="39"/>
  <c r="Q8" i="39"/>
  <c r="R8" i="39"/>
  <c r="S8" i="39"/>
  <c r="T8" i="39"/>
  <c r="U8" i="39"/>
  <c r="V8" i="39"/>
  <c r="W8" i="39"/>
  <c r="X8" i="39"/>
  <c r="Y8" i="39"/>
  <c r="Z8" i="39"/>
  <c r="AA8" i="39"/>
  <c r="AB8" i="39"/>
  <c r="AC8" i="39"/>
  <c r="AD8" i="39"/>
  <c r="AE8" i="39"/>
  <c r="AF8" i="39"/>
  <c r="C8" i="39"/>
  <c r="C24" i="43"/>
  <c r="C8" i="44"/>
  <c r="D8" i="43" l="1"/>
  <c r="E8" i="43"/>
  <c r="F8" i="43"/>
  <c r="G8" i="43"/>
  <c r="H8" i="43"/>
  <c r="I8" i="43"/>
  <c r="J8" i="43"/>
  <c r="K8" i="43"/>
  <c r="L8" i="43"/>
  <c r="M8" i="43"/>
  <c r="N8" i="43"/>
  <c r="O8" i="43"/>
  <c r="P8" i="43"/>
  <c r="Q8" i="43"/>
  <c r="R8" i="43"/>
  <c r="S8" i="43"/>
  <c r="T8" i="43"/>
  <c r="U8" i="43"/>
  <c r="V8" i="43"/>
  <c r="W8" i="43"/>
  <c r="X8" i="43"/>
  <c r="Y8" i="43"/>
  <c r="Z8" i="43"/>
  <c r="AA8" i="43"/>
  <c r="AB8" i="43"/>
  <c r="AC8" i="43"/>
  <c r="AD8" i="43"/>
  <c r="AE8" i="43"/>
  <c r="AF8" i="43"/>
  <c r="C8" i="43"/>
  <c r="C24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D15" i="6"/>
  <c r="C15" i="6"/>
  <c r="S20" i="47" l="1"/>
  <c r="R20" i="47"/>
  <c r="S13" i="47"/>
  <c r="S15" i="47" s="1"/>
  <c r="S17" i="47" s="1"/>
  <c r="R13" i="47"/>
  <c r="R15" i="47" s="1"/>
  <c r="R17" i="47" s="1"/>
  <c r="X21" i="45"/>
  <c r="W21" i="45"/>
  <c r="X14" i="45"/>
  <c r="X16" i="45" s="1"/>
  <c r="X18" i="45" s="1"/>
  <c r="W14" i="45"/>
  <c r="W16" i="45" s="1"/>
  <c r="W18" i="45" s="1"/>
  <c r="C24" i="39"/>
  <c r="D14" i="21"/>
  <c r="D16" i="21" s="1"/>
  <c r="H14" i="21"/>
  <c r="H16" i="21" s="1"/>
  <c r="J14" i="21"/>
  <c r="J16" i="21" s="1"/>
  <c r="K14" i="21"/>
  <c r="K16" i="21" s="1"/>
  <c r="L14" i="21"/>
  <c r="L16" i="21" s="1"/>
  <c r="O14" i="21"/>
  <c r="O16" i="21" s="1"/>
  <c r="P14" i="21"/>
  <c r="P16" i="21" s="1"/>
  <c r="R14" i="21"/>
  <c r="R16" i="21" s="1"/>
  <c r="R18" i="21" s="1"/>
  <c r="S14" i="21"/>
  <c r="S16" i="21" s="1"/>
  <c r="S18" i="21" s="1"/>
  <c r="T14" i="21"/>
  <c r="T16" i="21" s="1"/>
  <c r="T18" i="21" s="1"/>
  <c r="V14" i="21"/>
  <c r="V16" i="21" s="1"/>
  <c r="V18" i="21" s="1"/>
  <c r="W14" i="21"/>
  <c r="W16" i="21" s="1"/>
  <c r="W18" i="21" s="1"/>
  <c r="X14" i="21"/>
  <c r="X16" i="21" s="1"/>
  <c r="X18" i="21" s="1"/>
  <c r="X19" i="21" s="1"/>
  <c r="Z14" i="21"/>
  <c r="Z16" i="21" s="1"/>
  <c r="Z18" i="21" s="1"/>
  <c r="AA14" i="21"/>
  <c r="AA16" i="21" s="1"/>
  <c r="AA18" i="21" s="1"/>
  <c r="AA19" i="21" s="1"/>
  <c r="C14" i="21"/>
  <c r="C16" i="21" s="1"/>
  <c r="E14" i="21"/>
  <c r="E16" i="21" s="1"/>
  <c r="F14" i="21"/>
  <c r="F16" i="21" s="1"/>
  <c r="G14" i="21"/>
  <c r="G16" i="21" s="1"/>
  <c r="I14" i="21"/>
  <c r="I16" i="21" s="1"/>
  <c r="M14" i="21"/>
  <c r="M16" i="21" s="1"/>
  <c r="N14" i="21"/>
  <c r="N16" i="21" s="1"/>
  <c r="Q14" i="21"/>
  <c r="Q16" i="21" s="1"/>
  <c r="U14" i="21"/>
  <c r="U16" i="21" s="1"/>
  <c r="U18" i="21" s="1"/>
  <c r="Y14" i="21"/>
  <c r="Y16" i="21" s="1"/>
  <c r="Y18" i="21" s="1"/>
  <c r="AB14" i="21"/>
  <c r="AB16" i="21" s="1"/>
  <c r="AB18" i="21" s="1"/>
  <c r="AC14" i="21"/>
  <c r="AC16" i="21" s="1"/>
  <c r="AC18" i="21" s="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C39" i="21"/>
  <c r="C25" i="19"/>
  <c r="C24" i="37"/>
  <c r="C24" i="10"/>
  <c r="C23" i="1"/>
  <c r="C24" i="14"/>
  <c r="C24" i="45"/>
  <c r="C7" i="16"/>
  <c r="B19" i="16"/>
  <c r="C18" i="21" l="1"/>
  <c r="N18" i="21"/>
  <c r="N19" i="21" s="1"/>
  <c r="N20" i="21" s="1"/>
  <c r="N25" i="21" s="1"/>
  <c r="N35" i="21" s="1"/>
  <c r="G18" i="21"/>
  <c r="G19" i="21" s="1"/>
  <c r="H18" i="21"/>
  <c r="H19" i="21" s="1"/>
  <c r="H20" i="21" s="1"/>
  <c r="H25" i="21" s="1"/>
  <c r="H35" i="21" s="1"/>
  <c r="D18" i="21"/>
  <c r="D19" i="21" s="1"/>
  <c r="P18" i="21"/>
  <c r="P19" i="21" s="1"/>
  <c r="P20" i="21" s="1"/>
  <c r="P25" i="21" s="1"/>
  <c r="P35" i="21" s="1"/>
  <c r="L18" i="21"/>
  <c r="L19" i="21" s="1"/>
  <c r="O18" i="21"/>
  <c r="O19" i="21" s="1"/>
  <c r="K18" i="21"/>
  <c r="K19" i="21" s="1"/>
  <c r="K20" i="21" s="1"/>
  <c r="K25" i="21" s="1"/>
  <c r="K35" i="21" s="1"/>
  <c r="R18" i="47"/>
  <c r="R19" i="47" s="1"/>
  <c r="R24" i="47" s="1"/>
  <c r="R34" i="47" s="1"/>
  <c r="S18" i="47"/>
  <c r="S19" i="47" s="1"/>
  <c r="S24" i="47" s="1"/>
  <c r="S34" i="47" s="1"/>
  <c r="J18" i="21"/>
  <c r="J19" i="21" s="1"/>
  <c r="J20" i="21" s="1"/>
  <c r="J25" i="21" s="1"/>
  <c r="J35" i="21" s="1"/>
  <c r="M18" i="21"/>
  <c r="M19" i="21" s="1"/>
  <c r="M20" i="21" s="1"/>
  <c r="M25" i="21" s="1"/>
  <c r="M35" i="21" s="1"/>
  <c r="W19" i="45"/>
  <c r="W20" i="45" s="1"/>
  <c r="W25" i="45" s="1"/>
  <c r="W35" i="45" s="1"/>
  <c r="X19" i="45"/>
  <c r="X20" i="45" s="1"/>
  <c r="X25" i="45" s="1"/>
  <c r="X35" i="45" s="1"/>
  <c r="F18" i="21"/>
  <c r="F19" i="21" s="1"/>
  <c r="F20" i="21" s="1"/>
  <c r="F25" i="21" s="1"/>
  <c r="F35" i="21" s="1"/>
  <c r="AB19" i="21"/>
  <c r="AB20" i="21" s="1"/>
  <c r="AB25" i="21" s="1"/>
  <c r="AB35" i="21" s="1"/>
  <c r="V19" i="21"/>
  <c r="V20" i="21" s="1"/>
  <c r="V25" i="21" s="1"/>
  <c r="V35" i="21" s="1"/>
  <c r="T19" i="21"/>
  <c r="T20" i="21" s="1"/>
  <c r="T25" i="21" s="1"/>
  <c r="T35" i="21" s="1"/>
  <c r="C19" i="21"/>
  <c r="C20" i="21" s="1"/>
  <c r="C25" i="21" s="1"/>
  <c r="Z19" i="21"/>
  <c r="Z20" i="21" s="1"/>
  <c r="Z25" i="21" s="1"/>
  <c r="Z35" i="21" s="1"/>
  <c r="U19" i="21"/>
  <c r="U20" i="21" s="1"/>
  <c r="U25" i="21" s="1"/>
  <c r="U35" i="21" s="1"/>
  <c r="Y19" i="21"/>
  <c r="Y20" i="21" s="1"/>
  <c r="Y25" i="21" s="1"/>
  <c r="Y35" i="21" s="1"/>
  <c r="W19" i="21"/>
  <c r="W20" i="21" s="1"/>
  <c r="W25" i="21" s="1"/>
  <c r="W35" i="21" s="1"/>
  <c r="X20" i="21"/>
  <c r="X25" i="21" s="1"/>
  <c r="X35" i="21" s="1"/>
  <c r="AA20" i="21"/>
  <c r="AA25" i="21" s="1"/>
  <c r="AA35" i="21" s="1"/>
  <c r="Q18" i="21"/>
  <c r="R19" i="21"/>
  <c r="R20" i="21" s="1"/>
  <c r="R25" i="21" s="1"/>
  <c r="R35" i="21" s="1"/>
  <c r="AC19" i="21"/>
  <c r="AC20" i="21" s="1"/>
  <c r="AC25" i="21" s="1"/>
  <c r="AC35" i="21" s="1"/>
  <c r="I18" i="21"/>
  <c r="S19" i="21"/>
  <c r="S20" i="21" s="1"/>
  <c r="S25" i="21" s="1"/>
  <c r="S35" i="21" s="1"/>
  <c r="E18" i="21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D8" i="6"/>
  <c r="C8" i="6"/>
  <c r="B19" i="48"/>
  <c r="O14" i="47"/>
  <c r="O20" i="47" s="1"/>
  <c r="N14" i="47"/>
  <c r="N20" i="47" s="1"/>
  <c r="K14" i="47"/>
  <c r="K20" i="47" s="1"/>
  <c r="J14" i="47"/>
  <c r="J20" i="47" s="1"/>
  <c r="G14" i="47"/>
  <c r="G20" i="47" s="1"/>
  <c r="F14" i="47"/>
  <c r="F20" i="47" s="1"/>
  <c r="C14" i="47"/>
  <c r="C20" i="47" s="1"/>
  <c r="Q7" i="47"/>
  <c r="Q13" i="47" s="1"/>
  <c r="P7" i="47"/>
  <c r="P13" i="47" s="1"/>
  <c r="O7" i="47"/>
  <c r="O13" i="47" s="1"/>
  <c r="N7" i="47"/>
  <c r="N13" i="47" s="1"/>
  <c r="M7" i="47"/>
  <c r="M13" i="47" s="1"/>
  <c r="L7" i="47"/>
  <c r="L13" i="47" s="1"/>
  <c r="K7" i="47"/>
  <c r="K13" i="47" s="1"/>
  <c r="J7" i="47"/>
  <c r="J13" i="47" s="1"/>
  <c r="I7" i="47"/>
  <c r="I13" i="47" s="1"/>
  <c r="H7" i="47"/>
  <c r="H13" i="47" s="1"/>
  <c r="G7" i="47"/>
  <c r="G13" i="47" s="1"/>
  <c r="G15" i="47" s="1"/>
  <c r="F7" i="47"/>
  <c r="F13" i="47" s="1"/>
  <c r="E7" i="47"/>
  <c r="E13" i="47" s="1"/>
  <c r="D7" i="47"/>
  <c r="D13" i="47" s="1"/>
  <c r="C7" i="47"/>
  <c r="C13" i="47" s="1"/>
  <c r="B19" i="46"/>
  <c r="C9" i="46"/>
  <c r="C39" i="45"/>
  <c r="V15" i="45"/>
  <c r="V21" i="45" s="1"/>
  <c r="U15" i="45"/>
  <c r="U21" i="45" s="1"/>
  <c r="T15" i="45"/>
  <c r="T21" i="45" s="1"/>
  <c r="S15" i="45"/>
  <c r="S21" i="45" s="1"/>
  <c r="R15" i="45"/>
  <c r="R21" i="45" s="1"/>
  <c r="Q15" i="45"/>
  <c r="Q21" i="45" s="1"/>
  <c r="P15" i="45"/>
  <c r="P21" i="45" s="1"/>
  <c r="O15" i="45"/>
  <c r="O21" i="45" s="1"/>
  <c r="N15" i="45"/>
  <c r="N21" i="45" s="1"/>
  <c r="M15" i="45"/>
  <c r="M21" i="45" s="1"/>
  <c r="L15" i="45"/>
  <c r="L21" i="45" s="1"/>
  <c r="K15" i="45"/>
  <c r="K21" i="45" s="1"/>
  <c r="J15" i="45"/>
  <c r="J21" i="45" s="1"/>
  <c r="I15" i="45"/>
  <c r="I21" i="45" s="1"/>
  <c r="H15" i="45"/>
  <c r="H21" i="45" s="1"/>
  <c r="G15" i="45"/>
  <c r="G21" i="45" s="1"/>
  <c r="F15" i="45"/>
  <c r="F21" i="45" s="1"/>
  <c r="E15" i="45"/>
  <c r="E21" i="45" s="1"/>
  <c r="D15" i="45"/>
  <c r="D21" i="45" s="1"/>
  <c r="C15" i="45"/>
  <c r="C21" i="45" s="1"/>
  <c r="H14" i="45"/>
  <c r="V14" i="45"/>
  <c r="V16" i="45" s="1"/>
  <c r="V18" i="45" s="1"/>
  <c r="U14" i="45"/>
  <c r="U16" i="45" s="1"/>
  <c r="U18" i="45" s="1"/>
  <c r="T14" i="45"/>
  <c r="S14" i="45"/>
  <c r="R14" i="45"/>
  <c r="Q14" i="45"/>
  <c r="P14" i="45"/>
  <c r="O14" i="45"/>
  <c r="N14" i="45"/>
  <c r="N16" i="45" s="1"/>
  <c r="N18" i="45" s="1"/>
  <c r="M14" i="45"/>
  <c r="M16" i="45" s="1"/>
  <c r="M18" i="45" s="1"/>
  <c r="L14" i="45"/>
  <c r="K14" i="45"/>
  <c r="J14" i="45"/>
  <c r="I14" i="45"/>
  <c r="G14" i="45"/>
  <c r="F14" i="45"/>
  <c r="E14" i="45"/>
  <c r="D14" i="45"/>
  <c r="C14" i="45"/>
  <c r="B19" i="44"/>
  <c r="C9" i="44"/>
  <c r="C39" i="43"/>
  <c r="AI21" i="43"/>
  <c r="AH21" i="43"/>
  <c r="AG21" i="43"/>
  <c r="AF15" i="43"/>
  <c r="AF21" i="43" s="1"/>
  <c r="AE15" i="43"/>
  <c r="AE21" i="43" s="1"/>
  <c r="AD15" i="43"/>
  <c r="AD21" i="43" s="1"/>
  <c r="AC15" i="43"/>
  <c r="AC21" i="43" s="1"/>
  <c r="AB15" i="43"/>
  <c r="AB21" i="43" s="1"/>
  <c r="AA15" i="43"/>
  <c r="AA21" i="43" s="1"/>
  <c r="Z15" i="43"/>
  <c r="Z21" i="43" s="1"/>
  <c r="Y15" i="43"/>
  <c r="Y21" i="43" s="1"/>
  <c r="X15" i="43"/>
  <c r="X21" i="43" s="1"/>
  <c r="W15" i="43"/>
  <c r="W21" i="43" s="1"/>
  <c r="V15" i="43"/>
  <c r="V21" i="43" s="1"/>
  <c r="U15" i="43"/>
  <c r="U21" i="43" s="1"/>
  <c r="T15" i="43"/>
  <c r="T21" i="43" s="1"/>
  <c r="S15" i="43"/>
  <c r="S21" i="43" s="1"/>
  <c r="R15" i="43"/>
  <c r="R21" i="43" s="1"/>
  <c r="Q15" i="43"/>
  <c r="Q21" i="43" s="1"/>
  <c r="P15" i="43"/>
  <c r="P21" i="43" s="1"/>
  <c r="O15" i="43"/>
  <c r="O21" i="43" s="1"/>
  <c r="N15" i="43"/>
  <c r="N21" i="43" s="1"/>
  <c r="M15" i="43"/>
  <c r="M21" i="43" s="1"/>
  <c r="L15" i="43"/>
  <c r="L21" i="43" s="1"/>
  <c r="K15" i="43"/>
  <c r="K21" i="43" s="1"/>
  <c r="J15" i="43"/>
  <c r="J21" i="43" s="1"/>
  <c r="I15" i="43"/>
  <c r="I21" i="43" s="1"/>
  <c r="H15" i="43"/>
  <c r="H21" i="43" s="1"/>
  <c r="G15" i="43"/>
  <c r="G21" i="43" s="1"/>
  <c r="F15" i="43"/>
  <c r="F21" i="43" s="1"/>
  <c r="E15" i="43"/>
  <c r="E21" i="43" s="1"/>
  <c r="D15" i="43"/>
  <c r="D21" i="43" s="1"/>
  <c r="C15" i="43"/>
  <c r="C21" i="43" s="1"/>
  <c r="AI14" i="43"/>
  <c r="AI16" i="43" s="1"/>
  <c r="AI18" i="43" s="1"/>
  <c r="AH14" i="43"/>
  <c r="AH16" i="43" s="1"/>
  <c r="AH18" i="43" s="1"/>
  <c r="AG14" i="43"/>
  <c r="AG16" i="43" s="1"/>
  <c r="AG18" i="43" s="1"/>
  <c r="AG19" i="43" s="1"/>
  <c r="AF14" i="43"/>
  <c r="AE14" i="43"/>
  <c r="AD14" i="43"/>
  <c r="AC14" i="43"/>
  <c r="AB14" i="43"/>
  <c r="AB16" i="43" s="1"/>
  <c r="AB18" i="43" s="1"/>
  <c r="AA14" i="43"/>
  <c r="Z14" i="43"/>
  <c r="Y14" i="43"/>
  <c r="X14" i="43"/>
  <c r="W14" i="43"/>
  <c r="V14" i="43"/>
  <c r="U14" i="43"/>
  <c r="T14" i="43"/>
  <c r="T16" i="43" s="1"/>
  <c r="T18" i="43" s="1"/>
  <c r="S14" i="43"/>
  <c r="R14" i="43"/>
  <c r="Q14" i="43"/>
  <c r="P14" i="43"/>
  <c r="O14" i="43"/>
  <c r="N14" i="43"/>
  <c r="M14" i="43"/>
  <c r="L14" i="43"/>
  <c r="L16" i="43" s="1"/>
  <c r="K14" i="43"/>
  <c r="J14" i="43"/>
  <c r="I14" i="43"/>
  <c r="H14" i="43"/>
  <c r="G14" i="43"/>
  <c r="F14" i="43"/>
  <c r="E14" i="43"/>
  <c r="D14" i="43"/>
  <c r="D16" i="43" s="1"/>
  <c r="C14" i="43"/>
  <c r="F15" i="47" l="1"/>
  <c r="F17" i="47" s="1"/>
  <c r="F18" i="47" s="1"/>
  <c r="F19" i="47" s="1"/>
  <c r="F24" i="47" s="1"/>
  <c r="F34" i="47" s="1"/>
  <c r="N15" i="47"/>
  <c r="N17" i="47" s="1"/>
  <c r="N18" i="47" s="1"/>
  <c r="N19" i="47" s="1"/>
  <c r="N24" i="47" s="1"/>
  <c r="N34" i="47" s="1"/>
  <c r="G17" i="47"/>
  <c r="G18" i="47" s="1"/>
  <c r="G19" i="47" s="1"/>
  <c r="G24" i="47" s="1"/>
  <c r="G34" i="47" s="1"/>
  <c r="O15" i="47"/>
  <c r="O17" i="47" s="1"/>
  <c r="O18" i="47" s="1"/>
  <c r="O19" i="47" s="1"/>
  <c r="O24" i="47" s="1"/>
  <c r="O34" i="47" s="1"/>
  <c r="O16" i="45"/>
  <c r="O18" i="45" s="1"/>
  <c r="O19" i="45" s="1"/>
  <c r="G16" i="45"/>
  <c r="G18" i="45" s="1"/>
  <c r="P16" i="45"/>
  <c r="P18" i="45" s="1"/>
  <c r="P19" i="45" s="1"/>
  <c r="P20" i="45" s="1"/>
  <c r="P25" i="45" s="1"/>
  <c r="P35" i="45" s="1"/>
  <c r="Q16" i="45"/>
  <c r="Q18" i="45" s="1"/>
  <c r="Q19" i="45" s="1"/>
  <c r="Q20" i="45" s="1"/>
  <c r="Q25" i="45" s="1"/>
  <c r="Q35" i="45" s="1"/>
  <c r="R16" i="45"/>
  <c r="R18" i="45" s="1"/>
  <c r="R19" i="45" s="1"/>
  <c r="R20" i="45" s="1"/>
  <c r="R25" i="45" s="1"/>
  <c r="R35" i="45" s="1"/>
  <c r="I16" i="45"/>
  <c r="I18" i="45" s="1"/>
  <c r="I19" i="45" s="1"/>
  <c r="I20" i="45" s="1"/>
  <c r="I25" i="45" s="1"/>
  <c r="I35" i="45" s="1"/>
  <c r="J16" i="45"/>
  <c r="J18" i="45" s="1"/>
  <c r="J19" i="45" s="1"/>
  <c r="J20" i="45" s="1"/>
  <c r="J25" i="45" s="1"/>
  <c r="J35" i="45" s="1"/>
  <c r="K16" i="45"/>
  <c r="K18" i="45" s="1"/>
  <c r="S16" i="45"/>
  <c r="S18" i="45" s="1"/>
  <c r="S19" i="45" s="1"/>
  <c r="S20" i="45" s="1"/>
  <c r="S25" i="45" s="1"/>
  <c r="S35" i="45" s="1"/>
  <c r="C16" i="45"/>
  <c r="C18" i="45" s="1"/>
  <c r="C19" i="45" s="1"/>
  <c r="C20" i="45" s="1"/>
  <c r="C25" i="45" s="1"/>
  <c r="L16" i="45"/>
  <c r="L18" i="45" s="1"/>
  <c r="L19" i="45" s="1"/>
  <c r="L20" i="45" s="1"/>
  <c r="L25" i="45" s="1"/>
  <c r="L35" i="45" s="1"/>
  <c r="T16" i="45"/>
  <c r="T18" i="45" s="1"/>
  <c r="T19" i="45" s="1"/>
  <c r="T20" i="45" s="1"/>
  <c r="T25" i="45" s="1"/>
  <c r="T35" i="45" s="1"/>
  <c r="D16" i="45"/>
  <c r="D18" i="45" s="1"/>
  <c r="E16" i="45"/>
  <c r="E18" i="45" s="1"/>
  <c r="E19" i="45" s="1"/>
  <c r="E20" i="45" s="1"/>
  <c r="E25" i="45" s="1"/>
  <c r="E35" i="45" s="1"/>
  <c r="F16" i="45"/>
  <c r="F18" i="45" s="1"/>
  <c r="F19" i="45" s="1"/>
  <c r="F20" i="45" s="1"/>
  <c r="F25" i="45" s="1"/>
  <c r="F35" i="45" s="1"/>
  <c r="H16" i="45"/>
  <c r="H18" i="45" s="1"/>
  <c r="G20" i="21"/>
  <c r="G25" i="21" s="1"/>
  <c r="G35" i="21" s="1"/>
  <c r="D20" i="21"/>
  <c r="D25" i="21" s="1"/>
  <c r="D35" i="21" s="1"/>
  <c r="O20" i="21"/>
  <c r="O25" i="21" s="1"/>
  <c r="O35" i="21" s="1"/>
  <c r="L20" i="21"/>
  <c r="L25" i="21" s="1"/>
  <c r="L35" i="21" s="1"/>
  <c r="D18" i="43"/>
  <c r="L18" i="43"/>
  <c r="L19" i="43" s="1"/>
  <c r="L20" i="43" s="1"/>
  <c r="L25" i="43" s="1"/>
  <c r="L35" i="43" s="1"/>
  <c r="H16" i="43"/>
  <c r="H18" i="43" s="1"/>
  <c r="H19" i="43" s="1"/>
  <c r="H20" i="43" s="1"/>
  <c r="H25" i="43" s="1"/>
  <c r="H35" i="43" s="1"/>
  <c r="P16" i="43"/>
  <c r="P18" i="43" s="1"/>
  <c r="P19" i="43" s="1"/>
  <c r="P20" i="43" s="1"/>
  <c r="P25" i="43" s="1"/>
  <c r="P35" i="43" s="1"/>
  <c r="X16" i="43"/>
  <c r="X18" i="43" s="1"/>
  <c r="X19" i="43" s="1"/>
  <c r="X20" i="43" s="1"/>
  <c r="X25" i="43" s="1"/>
  <c r="X35" i="43" s="1"/>
  <c r="AF16" i="43"/>
  <c r="AF18" i="43" s="1"/>
  <c r="AF19" i="43" s="1"/>
  <c r="AF20" i="43" s="1"/>
  <c r="AF25" i="43" s="1"/>
  <c r="AF35" i="43" s="1"/>
  <c r="J16" i="43"/>
  <c r="J18" i="43" s="1"/>
  <c r="J19" i="43" s="1"/>
  <c r="J20" i="43" s="1"/>
  <c r="J25" i="43" s="1"/>
  <c r="J35" i="43" s="1"/>
  <c r="R16" i="43"/>
  <c r="R18" i="43" s="1"/>
  <c r="R19" i="43" s="1"/>
  <c r="R20" i="43" s="1"/>
  <c r="R25" i="43" s="1"/>
  <c r="R35" i="43" s="1"/>
  <c r="Z16" i="43"/>
  <c r="Z18" i="43" s="1"/>
  <c r="Z19" i="43" s="1"/>
  <c r="Z20" i="43" s="1"/>
  <c r="Z25" i="43" s="1"/>
  <c r="Z35" i="43" s="1"/>
  <c r="F16" i="43"/>
  <c r="F18" i="43" s="1"/>
  <c r="F19" i="43" s="1"/>
  <c r="F20" i="43" s="1"/>
  <c r="F25" i="43" s="1"/>
  <c r="F35" i="43" s="1"/>
  <c r="N16" i="43"/>
  <c r="N18" i="43" s="1"/>
  <c r="N19" i="43" s="1"/>
  <c r="V16" i="43"/>
  <c r="V18" i="43" s="1"/>
  <c r="V19" i="43" s="1"/>
  <c r="AD16" i="43"/>
  <c r="AD18" i="43" s="1"/>
  <c r="AD19" i="43" s="1"/>
  <c r="AD20" i="43" s="1"/>
  <c r="AD25" i="43" s="1"/>
  <c r="AD35" i="43" s="1"/>
  <c r="C15" i="47"/>
  <c r="C17" i="47" s="1"/>
  <c r="K15" i="47"/>
  <c r="K17" i="47" s="1"/>
  <c r="K18" i="47" s="1"/>
  <c r="K19" i="47" s="1"/>
  <c r="K24" i="47" s="1"/>
  <c r="K34" i="47" s="1"/>
  <c r="J15" i="47"/>
  <c r="J17" i="47" s="1"/>
  <c r="J18" i="47" s="1"/>
  <c r="J19" i="47" s="1"/>
  <c r="J24" i="47" s="1"/>
  <c r="J34" i="47" s="1"/>
  <c r="E16" i="43"/>
  <c r="E18" i="43" s="1"/>
  <c r="E19" i="43" s="1"/>
  <c r="I16" i="43"/>
  <c r="I18" i="43" s="1"/>
  <c r="I19" i="43" s="1"/>
  <c r="I20" i="43" s="1"/>
  <c r="I25" i="43" s="1"/>
  <c r="I35" i="43" s="1"/>
  <c r="M16" i="43"/>
  <c r="M18" i="43" s="1"/>
  <c r="M19" i="43" s="1"/>
  <c r="M20" i="43" s="1"/>
  <c r="M25" i="43" s="1"/>
  <c r="M35" i="43" s="1"/>
  <c r="Q16" i="43"/>
  <c r="Q18" i="43" s="1"/>
  <c r="Q19" i="43" s="1"/>
  <c r="U16" i="43"/>
  <c r="U18" i="43" s="1"/>
  <c r="U19" i="43" s="1"/>
  <c r="Y16" i="43"/>
  <c r="Y18" i="43" s="1"/>
  <c r="Y19" i="43" s="1"/>
  <c r="Y20" i="43" s="1"/>
  <c r="Y25" i="43" s="1"/>
  <c r="Y35" i="43" s="1"/>
  <c r="AC16" i="43"/>
  <c r="AC18" i="43" s="1"/>
  <c r="AC19" i="43" s="1"/>
  <c r="AC20" i="43" s="1"/>
  <c r="AC25" i="43" s="1"/>
  <c r="AC35" i="43" s="1"/>
  <c r="C16" i="43"/>
  <c r="C18" i="43" s="1"/>
  <c r="C19" i="43" s="1"/>
  <c r="C20" i="43" s="1"/>
  <c r="C25" i="43" s="1"/>
  <c r="G16" i="43"/>
  <c r="G18" i="43" s="1"/>
  <c r="G19" i="43" s="1"/>
  <c r="G20" i="43" s="1"/>
  <c r="G25" i="43" s="1"/>
  <c r="G35" i="43" s="1"/>
  <c r="K16" i="43"/>
  <c r="K18" i="43" s="1"/>
  <c r="K19" i="43" s="1"/>
  <c r="K20" i="43" s="1"/>
  <c r="K25" i="43" s="1"/>
  <c r="K35" i="43" s="1"/>
  <c r="O16" i="43"/>
  <c r="O18" i="43" s="1"/>
  <c r="O19" i="43" s="1"/>
  <c r="O20" i="43" s="1"/>
  <c r="O25" i="43" s="1"/>
  <c r="O35" i="43" s="1"/>
  <c r="S16" i="43"/>
  <c r="S18" i="43" s="1"/>
  <c r="S19" i="43" s="1"/>
  <c r="S20" i="43" s="1"/>
  <c r="S25" i="43" s="1"/>
  <c r="S35" i="43" s="1"/>
  <c r="W16" i="43"/>
  <c r="W18" i="43" s="1"/>
  <c r="AA16" i="43"/>
  <c r="AA18" i="43" s="1"/>
  <c r="AA19" i="43" s="1"/>
  <c r="AA20" i="43" s="1"/>
  <c r="AA25" i="43" s="1"/>
  <c r="AA35" i="43" s="1"/>
  <c r="AE16" i="43"/>
  <c r="AE18" i="43" s="1"/>
  <c r="AE19" i="43" s="1"/>
  <c r="AE20" i="43" s="1"/>
  <c r="AE25" i="43" s="1"/>
  <c r="AE35" i="43" s="1"/>
  <c r="Q14" i="47"/>
  <c r="Q20" i="47" s="1"/>
  <c r="C35" i="21"/>
  <c r="E28" i="21"/>
  <c r="Q19" i="21"/>
  <c r="Q20" i="21" s="1"/>
  <c r="Q25" i="21" s="1"/>
  <c r="Q35" i="21" s="1"/>
  <c r="I19" i="21"/>
  <c r="I20" i="21" s="1"/>
  <c r="I25" i="21" s="1"/>
  <c r="I35" i="21" s="1"/>
  <c r="E19" i="21"/>
  <c r="E20" i="21" s="1"/>
  <c r="E25" i="21" s="1"/>
  <c r="E35" i="21" s="1"/>
  <c r="C9" i="48"/>
  <c r="C18" i="47"/>
  <c r="C19" i="47" s="1"/>
  <c r="C38" i="47"/>
  <c r="D14" i="47"/>
  <c r="D20" i="47" s="1"/>
  <c r="H14" i="47"/>
  <c r="H20" i="47" s="1"/>
  <c r="L14" i="47"/>
  <c r="L20" i="47" s="1"/>
  <c r="P14" i="47"/>
  <c r="P20" i="47" s="1"/>
  <c r="E14" i="47"/>
  <c r="E20" i="47" s="1"/>
  <c r="I14" i="47"/>
  <c r="I20" i="47" s="1"/>
  <c r="M14" i="47"/>
  <c r="M20" i="47" s="1"/>
  <c r="N19" i="45"/>
  <c r="N20" i="45" s="1"/>
  <c r="N25" i="45" s="1"/>
  <c r="N35" i="45" s="1"/>
  <c r="V19" i="45"/>
  <c r="V20" i="45" s="1"/>
  <c r="V25" i="45" s="1"/>
  <c r="V35" i="45" s="1"/>
  <c r="D19" i="45"/>
  <c r="D20" i="45" s="1"/>
  <c r="D25" i="45" s="1"/>
  <c r="D35" i="45" s="1"/>
  <c r="M19" i="45"/>
  <c r="M20" i="45" s="1"/>
  <c r="M25" i="45" s="1"/>
  <c r="M35" i="45" s="1"/>
  <c r="U19" i="45"/>
  <c r="U20" i="45" s="1"/>
  <c r="U25" i="45" s="1"/>
  <c r="U35" i="45" s="1"/>
  <c r="H19" i="45"/>
  <c r="H20" i="45" s="1"/>
  <c r="H25" i="45" s="1"/>
  <c r="H35" i="45" s="1"/>
  <c r="D19" i="43"/>
  <c r="D20" i="43" s="1"/>
  <c r="D25" i="43" s="1"/>
  <c r="D35" i="43" s="1"/>
  <c r="AB19" i="43"/>
  <c r="AB20" i="43" s="1"/>
  <c r="AB25" i="43" s="1"/>
  <c r="AB35" i="43" s="1"/>
  <c r="T19" i="43"/>
  <c r="T20" i="43" s="1"/>
  <c r="T25" i="43" s="1"/>
  <c r="T35" i="43" s="1"/>
  <c r="W19" i="43"/>
  <c r="W20" i="43" s="1"/>
  <c r="W25" i="43" s="1"/>
  <c r="W35" i="43" s="1"/>
  <c r="AI19" i="43"/>
  <c r="AI20" i="43" s="1"/>
  <c r="AI25" i="43" s="1"/>
  <c r="AI35" i="43" s="1"/>
  <c r="AH19" i="43"/>
  <c r="AH20" i="43" s="1"/>
  <c r="AH25" i="43" s="1"/>
  <c r="AG20" i="43"/>
  <c r="AG25" i="43" s="1"/>
  <c r="AG35" i="43" s="1"/>
  <c r="E20" i="43" l="1"/>
  <c r="E25" i="43" s="1"/>
  <c r="E35" i="43" s="1"/>
  <c r="Q15" i="47"/>
  <c r="Q17" i="47" s="1"/>
  <c r="Q18" i="47" s="1"/>
  <c r="Q19" i="47" s="1"/>
  <c r="Q24" i="47" s="1"/>
  <c r="Q34" i="47" s="1"/>
  <c r="G19" i="45"/>
  <c r="G20" i="45" s="1"/>
  <c r="G25" i="45" s="1"/>
  <c r="G35" i="45" s="1"/>
  <c r="K19" i="45"/>
  <c r="K20" i="45" s="1"/>
  <c r="K25" i="45" s="1"/>
  <c r="K35" i="45" s="1"/>
  <c r="F28" i="21"/>
  <c r="G28" i="21" s="1"/>
  <c r="H28" i="21" s="1"/>
  <c r="I28" i="21" s="1"/>
  <c r="J28" i="21" s="1"/>
  <c r="K28" i="21" s="1"/>
  <c r="L28" i="21" s="1"/>
  <c r="M28" i="21" s="1"/>
  <c r="N28" i="21" s="1"/>
  <c r="O28" i="21" s="1"/>
  <c r="P28" i="21" s="1"/>
  <c r="Q28" i="21" s="1"/>
  <c r="R28" i="21" s="1"/>
  <c r="S28" i="21" s="1"/>
  <c r="T28" i="21" s="1"/>
  <c r="U28" i="21" s="1"/>
  <c r="V28" i="21" s="1"/>
  <c r="W28" i="21" s="1"/>
  <c r="X28" i="21" s="1"/>
  <c r="Y28" i="21" s="1"/>
  <c r="Z28" i="21" s="1"/>
  <c r="AA28" i="21" s="1"/>
  <c r="AB28" i="21" s="1"/>
  <c r="AC28" i="21" s="1"/>
  <c r="V20" i="43"/>
  <c r="V25" i="43" s="1"/>
  <c r="V35" i="43" s="1"/>
  <c r="N20" i="43"/>
  <c r="N25" i="43" s="1"/>
  <c r="N35" i="43" s="1"/>
  <c r="U20" i="43"/>
  <c r="U25" i="43" s="1"/>
  <c r="U35" i="43" s="1"/>
  <c r="H15" i="47"/>
  <c r="H17" i="47" s="1"/>
  <c r="H18" i="47" s="1"/>
  <c r="H19" i="47" s="1"/>
  <c r="H24" i="47" s="1"/>
  <c r="H34" i="47" s="1"/>
  <c r="I15" i="47"/>
  <c r="I17" i="47" s="1"/>
  <c r="I18" i="47" s="1"/>
  <c r="I19" i="47" s="1"/>
  <c r="I24" i="47" s="1"/>
  <c r="I34" i="47" s="1"/>
  <c r="Q20" i="43"/>
  <c r="Q25" i="43" s="1"/>
  <c r="Q35" i="43" s="1"/>
  <c r="O20" i="45"/>
  <c r="O25" i="45" s="1"/>
  <c r="O35" i="45" s="1"/>
  <c r="C28" i="21"/>
  <c r="C31" i="21" s="1"/>
  <c r="C32" i="21" s="1"/>
  <c r="E38" i="21"/>
  <c r="F38" i="21" s="1"/>
  <c r="G38" i="21" s="1"/>
  <c r="H38" i="21" s="1"/>
  <c r="I38" i="21" s="1"/>
  <c r="J38" i="21" s="1"/>
  <c r="K38" i="21" s="1"/>
  <c r="L38" i="21" s="1"/>
  <c r="M38" i="21" s="1"/>
  <c r="N38" i="21" s="1"/>
  <c r="O38" i="21" s="1"/>
  <c r="P38" i="21" s="1"/>
  <c r="Q38" i="21" s="1"/>
  <c r="R38" i="21" s="1"/>
  <c r="S38" i="21" s="1"/>
  <c r="T38" i="21" s="1"/>
  <c r="U38" i="21" s="1"/>
  <c r="V38" i="21" s="1"/>
  <c r="W38" i="21" s="1"/>
  <c r="X38" i="21" s="1"/>
  <c r="Y38" i="21" s="1"/>
  <c r="Z38" i="21" s="1"/>
  <c r="AA38" i="21" s="1"/>
  <c r="AB38" i="21" s="1"/>
  <c r="AC38" i="21" s="1"/>
  <c r="C38" i="21"/>
  <c r="C41" i="21" s="1"/>
  <c r="C42" i="21" s="1"/>
  <c r="E15" i="47"/>
  <c r="E17" i="47" s="1"/>
  <c r="D15" i="47"/>
  <c r="D17" i="47" s="1"/>
  <c r="P15" i="47"/>
  <c r="P17" i="47" s="1"/>
  <c r="M15" i="47"/>
  <c r="M17" i="47" s="1"/>
  <c r="L15" i="47"/>
  <c r="L17" i="47" s="1"/>
  <c r="C35" i="45"/>
  <c r="E28" i="45"/>
  <c r="F28" i="45" s="1"/>
  <c r="G28" i="45" s="1"/>
  <c r="H28" i="45" s="1"/>
  <c r="AH35" i="43"/>
  <c r="C35" i="43"/>
  <c r="E28" i="43"/>
  <c r="F28" i="43" s="1"/>
  <c r="G28" i="43" l="1"/>
  <c r="H28" i="43" s="1"/>
  <c r="I28" i="43" s="1"/>
  <c r="J28" i="43" s="1"/>
  <c r="K28" i="43" s="1"/>
  <c r="L28" i="43" s="1"/>
  <c r="M28" i="43" s="1"/>
  <c r="N28" i="43" s="1"/>
  <c r="O28" i="43" s="1"/>
  <c r="P28" i="43" s="1"/>
  <c r="Q28" i="43" s="1"/>
  <c r="R28" i="43" s="1"/>
  <c r="S28" i="43" s="1"/>
  <c r="T28" i="43" s="1"/>
  <c r="U28" i="43" s="1"/>
  <c r="V28" i="43" s="1"/>
  <c r="W28" i="43" s="1"/>
  <c r="X28" i="43" s="1"/>
  <c r="Y28" i="43" s="1"/>
  <c r="Z28" i="43" s="1"/>
  <c r="AA28" i="43" s="1"/>
  <c r="AB28" i="43" s="1"/>
  <c r="AC28" i="43" s="1"/>
  <c r="AD28" i="43" s="1"/>
  <c r="AE28" i="43" s="1"/>
  <c r="AF28" i="43" s="1"/>
  <c r="AG28" i="43" s="1"/>
  <c r="AH28" i="43" s="1"/>
  <c r="I28" i="45"/>
  <c r="J28" i="45" s="1"/>
  <c r="K28" i="45" s="1"/>
  <c r="L28" i="45" s="1"/>
  <c r="M28" i="45" s="1"/>
  <c r="N28" i="45" s="1"/>
  <c r="O28" i="45" s="1"/>
  <c r="P28" i="45" s="1"/>
  <c r="Q28" i="45" s="1"/>
  <c r="R28" i="45" s="1"/>
  <c r="S28" i="45" s="1"/>
  <c r="T28" i="45" s="1"/>
  <c r="U28" i="45" s="1"/>
  <c r="V28" i="45" s="1"/>
  <c r="W28" i="45" s="1"/>
  <c r="X28" i="45" s="1"/>
  <c r="C28" i="45"/>
  <c r="C31" i="45" s="1"/>
  <c r="C32" i="45" s="1"/>
  <c r="C28" i="43"/>
  <c r="C31" i="43" s="1"/>
  <c r="C32" i="43" s="1"/>
  <c r="L18" i="47"/>
  <c r="L19" i="47" s="1"/>
  <c r="L24" i="47" s="1"/>
  <c r="L34" i="47" s="1"/>
  <c r="P18" i="47"/>
  <c r="P19" i="47" s="1"/>
  <c r="P24" i="47" s="1"/>
  <c r="P34" i="47" s="1"/>
  <c r="M18" i="47"/>
  <c r="M19" i="47" s="1"/>
  <c r="M24" i="47" s="1"/>
  <c r="M34" i="47" s="1"/>
  <c r="D18" i="47"/>
  <c r="D19" i="47" s="1"/>
  <c r="D24" i="47" s="1"/>
  <c r="E18" i="47"/>
  <c r="E19" i="47" s="1"/>
  <c r="E24" i="47" s="1"/>
  <c r="E34" i="47" s="1"/>
  <c r="E38" i="45"/>
  <c r="F38" i="45" s="1"/>
  <c r="G38" i="45" s="1"/>
  <c r="H38" i="45" s="1"/>
  <c r="I38" i="45" s="1"/>
  <c r="J38" i="45" s="1"/>
  <c r="K38" i="45" s="1"/>
  <c r="L38" i="45" s="1"/>
  <c r="M38" i="45" s="1"/>
  <c r="N38" i="45" s="1"/>
  <c r="O38" i="45" s="1"/>
  <c r="P38" i="45" s="1"/>
  <c r="Q38" i="45" s="1"/>
  <c r="R38" i="45" s="1"/>
  <c r="S38" i="45" s="1"/>
  <c r="T38" i="45" s="1"/>
  <c r="U38" i="45" s="1"/>
  <c r="V38" i="45" s="1"/>
  <c r="W38" i="45" s="1"/>
  <c r="X38" i="45" s="1"/>
  <c r="C38" i="45"/>
  <c r="C41" i="45" s="1"/>
  <c r="C42" i="45" s="1"/>
  <c r="B5" i="46" s="1"/>
  <c r="E38" i="43"/>
  <c r="F38" i="43" s="1"/>
  <c r="G38" i="43" s="1"/>
  <c r="H38" i="43" s="1"/>
  <c r="I38" i="43" s="1"/>
  <c r="J38" i="43" s="1"/>
  <c r="K38" i="43" s="1"/>
  <c r="L38" i="43" s="1"/>
  <c r="M38" i="43" s="1"/>
  <c r="N38" i="43" s="1"/>
  <c r="O38" i="43" s="1"/>
  <c r="P38" i="43" s="1"/>
  <c r="Q38" i="43" s="1"/>
  <c r="R38" i="43" s="1"/>
  <c r="S38" i="43" s="1"/>
  <c r="T38" i="43" s="1"/>
  <c r="U38" i="43" s="1"/>
  <c r="V38" i="43" s="1"/>
  <c r="W38" i="43" s="1"/>
  <c r="X38" i="43" s="1"/>
  <c r="Y38" i="43" s="1"/>
  <c r="Z38" i="43" s="1"/>
  <c r="AA38" i="43" s="1"/>
  <c r="AB38" i="43" s="1"/>
  <c r="AC38" i="43" s="1"/>
  <c r="AD38" i="43" s="1"/>
  <c r="AE38" i="43" s="1"/>
  <c r="AF38" i="43" s="1"/>
  <c r="AG38" i="43" s="1"/>
  <c r="AH38" i="43" s="1"/>
  <c r="C38" i="43"/>
  <c r="C41" i="43" s="1"/>
  <c r="C42" i="43" s="1"/>
  <c r="B5" i="44" s="1"/>
  <c r="D34" i="47" l="1"/>
  <c r="R10" i="14" l="1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C10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C8" i="14"/>
  <c r="C8" i="40" l="1"/>
  <c r="B19" i="40"/>
  <c r="C7" i="40"/>
  <c r="D15" i="39"/>
  <c r="D21" i="39" s="1"/>
  <c r="E15" i="39"/>
  <c r="E21" i="39" s="1"/>
  <c r="F15" i="39"/>
  <c r="F21" i="39" s="1"/>
  <c r="G15" i="39"/>
  <c r="G21" i="39" s="1"/>
  <c r="H15" i="39"/>
  <c r="H21" i="39" s="1"/>
  <c r="I15" i="39"/>
  <c r="I21" i="39" s="1"/>
  <c r="J15" i="39"/>
  <c r="J21" i="39" s="1"/>
  <c r="K15" i="39"/>
  <c r="L15" i="39"/>
  <c r="L21" i="39" s="1"/>
  <c r="M15" i="39"/>
  <c r="M21" i="39" s="1"/>
  <c r="N15" i="39"/>
  <c r="N21" i="39" s="1"/>
  <c r="O15" i="39"/>
  <c r="O21" i="39" s="1"/>
  <c r="P15" i="39"/>
  <c r="P21" i="39" s="1"/>
  <c r="Q15" i="39"/>
  <c r="Q21" i="39" s="1"/>
  <c r="R15" i="39"/>
  <c r="R21" i="39" s="1"/>
  <c r="S15" i="39"/>
  <c r="T15" i="39"/>
  <c r="T21" i="39" s="1"/>
  <c r="U15" i="39"/>
  <c r="U21" i="39" s="1"/>
  <c r="V15" i="39"/>
  <c r="V21" i="39" s="1"/>
  <c r="W15" i="39"/>
  <c r="W21" i="39" s="1"/>
  <c r="X15" i="39"/>
  <c r="X21" i="39" s="1"/>
  <c r="Y15" i="39"/>
  <c r="Y21" i="39" s="1"/>
  <c r="Z15" i="39"/>
  <c r="Z21" i="39" s="1"/>
  <c r="AA15" i="39"/>
  <c r="AA21" i="39" s="1"/>
  <c r="AB15" i="39"/>
  <c r="AC15" i="39"/>
  <c r="AC21" i="39" s="1"/>
  <c r="AD15" i="39"/>
  <c r="AD21" i="39" s="1"/>
  <c r="AE15" i="39"/>
  <c r="AF15" i="39"/>
  <c r="AF21" i="39" s="1"/>
  <c r="C15" i="39"/>
  <c r="C21" i="39" s="1"/>
  <c r="E14" i="39"/>
  <c r="F14" i="39"/>
  <c r="G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V14" i="39"/>
  <c r="W14" i="39"/>
  <c r="X14" i="39"/>
  <c r="Y14" i="39"/>
  <c r="Z14" i="39"/>
  <c r="AA14" i="39"/>
  <c r="AB14" i="39"/>
  <c r="AC14" i="39"/>
  <c r="AD14" i="39"/>
  <c r="AE14" i="39"/>
  <c r="AF14" i="39"/>
  <c r="C14" i="39"/>
  <c r="C39" i="39"/>
  <c r="AH21" i="39"/>
  <c r="AG21" i="39"/>
  <c r="AE21" i="39"/>
  <c r="AB21" i="39"/>
  <c r="S21" i="39"/>
  <c r="K21" i="39"/>
  <c r="AH14" i="39"/>
  <c r="AH16" i="39" s="1"/>
  <c r="AH18" i="39" s="1"/>
  <c r="AG14" i="39"/>
  <c r="AG16" i="39" s="1"/>
  <c r="AG18" i="39" s="1"/>
  <c r="H14" i="39"/>
  <c r="D14" i="39"/>
  <c r="D16" i="39" s="1"/>
  <c r="D18" i="39" l="1"/>
  <c r="D19" i="39" s="1"/>
  <c r="D20" i="39" s="1"/>
  <c r="D25" i="39" s="1"/>
  <c r="D35" i="39" s="1"/>
  <c r="H16" i="39"/>
  <c r="H18" i="39" s="1"/>
  <c r="H19" i="39" s="1"/>
  <c r="AC16" i="39"/>
  <c r="AC18" i="39" s="1"/>
  <c r="U16" i="39"/>
  <c r="U18" i="39" s="1"/>
  <c r="M16" i="39"/>
  <c r="M18" i="39" s="1"/>
  <c r="M19" i="39" s="1"/>
  <c r="M20" i="39" s="1"/>
  <c r="M25" i="39" s="1"/>
  <c r="M35" i="39" s="1"/>
  <c r="AB16" i="39"/>
  <c r="AB18" i="39" s="1"/>
  <c r="AB19" i="39" s="1"/>
  <c r="AB20" i="39" s="1"/>
  <c r="AB25" i="39" s="1"/>
  <c r="AB35" i="39" s="1"/>
  <c r="Y16" i="39"/>
  <c r="Y18" i="39" s="1"/>
  <c r="Y19" i="39" s="1"/>
  <c r="Y20" i="39" s="1"/>
  <c r="Y25" i="39" s="1"/>
  <c r="Y35" i="39" s="1"/>
  <c r="Q16" i="39"/>
  <c r="Q18" i="39" s="1"/>
  <c r="Q19" i="39" s="1"/>
  <c r="Q20" i="39" s="1"/>
  <c r="Q25" i="39" s="1"/>
  <c r="Q35" i="39" s="1"/>
  <c r="I16" i="39"/>
  <c r="I18" i="39" s="1"/>
  <c r="I19" i="39" s="1"/>
  <c r="I20" i="39" s="1"/>
  <c r="I25" i="39" s="1"/>
  <c r="I35" i="39" s="1"/>
  <c r="E16" i="39"/>
  <c r="E18" i="39" s="1"/>
  <c r="E19" i="39" s="1"/>
  <c r="E20" i="39" s="1"/>
  <c r="E25" i="39" s="1"/>
  <c r="E35" i="39" s="1"/>
  <c r="C16" i="39"/>
  <c r="C18" i="39" s="1"/>
  <c r="C19" i="39" s="1"/>
  <c r="C20" i="39" s="1"/>
  <c r="C25" i="39" s="1"/>
  <c r="Z16" i="39"/>
  <c r="Z18" i="39" s="1"/>
  <c r="Z19" i="39" s="1"/>
  <c r="Z20" i="39" s="1"/>
  <c r="Z25" i="39" s="1"/>
  <c r="Z35" i="39" s="1"/>
  <c r="V16" i="39"/>
  <c r="V18" i="39" s="1"/>
  <c r="V19" i="39" s="1"/>
  <c r="V20" i="39" s="1"/>
  <c r="V25" i="39" s="1"/>
  <c r="V35" i="39" s="1"/>
  <c r="R16" i="39"/>
  <c r="R18" i="39" s="1"/>
  <c r="R19" i="39" s="1"/>
  <c r="R20" i="39" s="1"/>
  <c r="R25" i="39" s="1"/>
  <c r="R35" i="39" s="1"/>
  <c r="AD16" i="39"/>
  <c r="AD18" i="39" s="1"/>
  <c r="AD19" i="39" s="1"/>
  <c r="AD20" i="39" s="1"/>
  <c r="AD25" i="39" s="1"/>
  <c r="AD35" i="39" s="1"/>
  <c r="T16" i="39"/>
  <c r="T18" i="39" s="1"/>
  <c r="T19" i="39" s="1"/>
  <c r="L16" i="39"/>
  <c r="L18" i="39" s="1"/>
  <c r="L19" i="39" s="1"/>
  <c r="AF16" i="39"/>
  <c r="AF18" i="39" s="1"/>
  <c r="AF19" i="39" s="1"/>
  <c r="X16" i="39"/>
  <c r="X18" i="39" s="1"/>
  <c r="X19" i="39" s="1"/>
  <c r="P16" i="39"/>
  <c r="P18" i="39" s="1"/>
  <c r="P19" i="39" s="1"/>
  <c r="C9" i="40"/>
  <c r="O16" i="39"/>
  <c r="O18" i="39" s="1"/>
  <c r="O19" i="39" s="1"/>
  <c r="O20" i="39" s="1"/>
  <c r="O25" i="39" s="1"/>
  <c r="O35" i="39" s="1"/>
  <c r="AA16" i="39"/>
  <c r="AA18" i="39" s="1"/>
  <c r="AA19" i="39" s="1"/>
  <c r="AA20" i="39" s="1"/>
  <c r="AA25" i="39" s="1"/>
  <c r="AA35" i="39" s="1"/>
  <c r="N16" i="39"/>
  <c r="N18" i="39" s="1"/>
  <c r="N19" i="39" s="1"/>
  <c r="N20" i="39" s="1"/>
  <c r="N25" i="39" s="1"/>
  <c r="N35" i="39" s="1"/>
  <c r="J16" i="39"/>
  <c r="J18" i="39" s="1"/>
  <c r="J19" i="39" s="1"/>
  <c r="J20" i="39" s="1"/>
  <c r="J25" i="39" s="1"/>
  <c r="J35" i="39" s="1"/>
  <c r="W16" i="39"/>
  <c r="W18" i="39" s="1"/>
  <c r="W19" i="39" s="1"/>
  <c r="W20" i="39" s="1"/>
  <c r="W25" i="39" s="1"/>
  <c r="W35" i="39" s="1"/>
  <c r="F16" i="39"/>
  <c r="F18" i="39" s="1"/>
  <c r="AE16" i="39"/>
  <c r="AE18" i="39" s="1"/>
  <c r="AE19" i="39" s="1"/>
  <c r="S16" i="39"/>
  <c r="S18" i="39" s="1"/>
  <c r="S19" i="39" s="1"/>
  <c r="S20" i="39" s="1"/>
  <c r="S25" i="39" s="1"/>
  <c r="S35" i="39" s="1"/>
  <c r="K16" i="39"/>
  <c r="K18" i="39" s="1"/>
  <c r="K19" i="39" s="1"/>
  <c r="K20" i="39" s="1"/>
  <c r="K25" i="39" s="1"/>
  <c r="K35" i="39" s="1"/>
  <c r="G16" i="39"/>
  <c r="G18" i="39" s="1"/>
  <c r="F19" i="39"/>
  <c r="F20" i="39" s="1"/>
  <c r="F25" i="39" s="1"/>
  <c r="F35" i="39" s="1"/>
  <c r="U19" i="39"/>
  <c r="U20" i="39" s="1"/>
  <c r="U25" i="39" s="1"/>
  <c r="U35" i="39" s="1"/>
  <c r="AH19" i="39"/>
  <c r="AH20" i="39" s="1"/>
  <c r="AH25" i="39" s="1"/>
  <c r="AH35" i="39" s="1"/>
  <c r="AC19" i="39"/>
  <c r="AC20" i="39" s="1"/>
  <c r="AC25" i="39" s="1"/>
  <c r="AC35" i="39" s="1"/>
  <c r="AG19" i="39"/>
  <c r="AG20" i="39" s="1"/>
  <c r="AG25" i="39" s="1"/>
  <c r="H20" i="39"/>
  <c r="H25" i="39" s="1"/>
  <c r="H35" i="39" s="1"/>
  <c r="C9" i="38"/>
  <c r="C8" i="38"/>
  <c r="B20" i="38"/>
  <c r="C39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X14" i="37"/>
  <c r="X16" i="37" s="1"/>
  <c r="X18" i="37" s="1"/>
  <c r="W14" i="37"/>
  <c r="W16" i="37" s="1"/>
  <c r="W18" i="37" s="1"/>
  <c r="V14" i="37"/>
  <c r="V16" i="37" s="1"/>
  <c r="V18" i="37" s="1"/>
  <c r="U14" i="37"/>
  <c r="U16" i="37" s="1"/>
  <c r="U18" i="37" s="1"/>
  <c r="T14" i="37"/>
  <c r="T16" i="37" s="1"/>
  <c r="T18" i="37" s="1"/>
  <c r="S14" i="37"/>
  <c r="S16" i="37" s="1"/>
  <c r="S18" i="37" s="1"/>
  <c r="R14" i="37"/>
  <c r="R16" i="37" s="1"/>
  <c r="R18" i="37" s="1"/>
  <c r="Q14" i="37"/>
  <c r="Q16" i="37" s="1"/>
  <c r="Q18" i="37" s="1"/>
  <c r="P14" i="37"/>
  <c r="P16" i="37" s="1"/>
  <c r="O14" i="37"/>
  <c r="O16" i="37" s="1"/>
  <c r="N14" i="37"/>
  <c r="N16" i="37" s="1"/>
  <c r="N18" i="37" s="1"/>
  <c r="M14" i="37"/>
  <c r="M16" i="37" s="1"/>
  <c r="L14" i="37"/>
  <c r="L16" i="37" s="1"/>
  <c r="K14" i="37"/>
  <c r="K16" i="37" s="1"/>
  <c r="J14" i="37"/>
  <c r="J16" i="37" s="1"/>
  <c r="I14" i="37"/>
  <c r="I16" i="37" s="1"/>
  <c r="I18" i="37" s="1"/>
  <c r="H14" i="37"/>
  <c r="H16" i="37" s="1"/>
  <c r="G14" i="37"/>
  <c r="G16" i="37" s="1"/>
  <c r="F14" i="37"/>
  <c r="F16" i="37" s="1"/>
  <c r="F18" i="37" s="1"/>
  <c r="E14" i="37"/>
  <c r="E16" i="37" s="1"/>
  <c r="D14" i="37"/>
  <c r="D16" i="37" s="1"/>
  <c r="C14" i="37"/>
  <c r="C16" i="37" s="1"/>
  <c r="C8" i="28"/>
  <c r="C7" i="28"/>
  <c r="B19" i="28"/>
  <c r="C39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AQ14" i="14"/>
  <c r="AQ16" i="14" s="1"/>
  <c r="AQ18" i="14" s="1"/>
  <c r="AP14" i="14"/>
  <c r="AP16" i="14" s="1"/>
  <c r="AP18" i="14" s="1"/>
  <c r="AO14" i="14"/>
  <c r="AO16" i="14" s="1"/>
  <c r="AO18" i="14" s="1"/>
  <c r="AN14" i="14"/>
  <c r="AN16" i="14" s="1"/>
  <c r="AN18" i="14" s="1"/>
  <c r="AM14" i="14"/>
  <c r="AM16" i="14" s="1"/>
  <c r="AM18" i="14" s="1"/>
  <c r="AL14" i="14"/>
  <c r="AL16" i="14" s="1"/>
  <c r="AL18" i="14" s="1"/>
  <c r="AK14" i="14"/>
  <c r="AK16" i="14" s="1"/>
  <c r="AK18" i="14" s="1"/>
  <c r="AJ14" i="14"/>
  <c r="AJ16" i="14" s="1"/>
  <c r="AJ18" i="14" s="1"/>
  <c r="AI14" i="14"/>
  <c r="AI16" i="14" s="1"/>
  <c r="AI18" i="14" s="1"/>
  <c r="AH14" i="14"/>
  <c r="AH16" i="14" s="1"/>
  <c r="AH18" i="14" s="1"/>
  <c r="AG14" i="14"/>
  <c r="AG16" i="14" s="1"/>
  <c r="AG18" i="14" s="1"/>
  <c r="AF14" i="14"/>
  <c r="AF16" i="14" s="1"/>
  <c r="AF18" i="14" s="1"/>
  <c r="AE14" i="14"/>
  <c r="AE16" i="14" s="1"/>
  <c r="AE18" i="14" s="1"/>
  <c r="AD14" i="14"/>
  <c r="AD16" i="14" s="1"/>
  <c r="AD18" i="14" s="1"/>
  <c r="AC14" i="14"/>
  <c r="AC16" i="14" s="1"/>
  <c r="AC18" i="14" s="1"/>
  <c r="AB14" i="14"/>
  <c r="AB16" i="14" s="1"/>
  <c r="AB18" i="14" s="1"/>
  <c r="AA14" i="14"/>
  <c r="AA16" i="14" s="1"/>
  <c r="AA18" i="14" s="1"/>
  <c r="Z14" i="14"/>
  <c r="Z16" i="14" s="1"/>
  <c r="Z18" i="14" s="1"/>
  <c r="Y14" i="14"/>
  <c r="Y16" i="14" s="1"/>
  <c r="Y18" i="14" s="1"/>
  <c r="X14" i="14"/>
  <c r="X16" i="14" s="1"/>
  <c r="X18" i="14" s="1"/>
  <c r="W14" i="14"/>
  <c r="W16" i="14" s="1"/>
  <c r="W18" i="14" s="1"/>
  <c r="V14" i="14"/>
  <c r="V16" i="14" s="1"/>
  <c r="V18" i="14" s="1"/>
  <c r="U14" i="14"/>
  <c r="U16" i="14" s="1"/>
  <c r="U18" i="14" s="1"/>
  <c r="T14" i="14"/>
  <c r="T16" i="14" s="1"/>
  <c r="T18" i="14" s="1"/>
  <c r="S14" i="14"/>
  <c r="S16" i="14" s="1"/>
  <c r="S18" i="14" s="1"/>
  <c r="R14" i="14"/>
  <c r="R16" i="14" s="1"/>
  <c r="R18" i="14" s="1"/>
  <c r="Q14" i="14"/>
  <c r="Q16" i="14" s="1"/>
  <c r="P14" i="14"/>
  <c r="P16" i="14" s="1"/>
  <c r="P18" i="14" s="1"/>
  <c r="O14" i="14"/>
  <c r="O16" i="14" s="1"/>
  <c r="O18" i="14" s="1"/>
  <c r="N14" i="14"/>
  <c r="N16" i="14" s="1"/>
  <c r="M14" i="14"/>
  <c r="M16" i="14" s="1"/>
  <c r="L14" i="14"/>
  <c r="L16" i="14" s="1"/>
  <c r="K14" i="14"/>
  <c r="K16" i="14" s="1"/>
  <c r="K18" i="14" s="1"/>
  <c r="J14" i="14"/>
  <c r="J16" i="14" s="1"/>
  <c r="I14" i="14"/>
  <c r="I16" i="14" s="1"/>
  <c r="H14" i="14"/>
  <c r="H16" i="14" s="1"/>
  <c r="H18" i="14" s="1"/>
  <c r="G14" i="14"/>
  <c r="G16" i="14" s="1"/>
  <c r="G18" i="14" s="1"/>
  <c r="F14" i="14"/>
  <c r="F16" i="14" s="1"/>
  <c r="E14" i="14"/>
  <c r="E16" i="14" s="1"/>
  <c r="D14" i="14"/>
  <c r="D16" i="14" s="1"/>
  <c r="C14" i="14"/>
  <c r="C16" i="14" s="1"/>
  <c r="C18" i="14" s="1"/>
  <c r="C9" i="26"/>
  <c r="C8" i="26"/>
  <c r="B20" i="26"/>
  <c r="C8" i="7"/>
  <c r="C7" i="7"/>
  <c r="B19" i="7"/>
  <c r="C8" i="25"/>
  <c r="C8" i="22"/>
  <c r="C7" i="25"/>
  <c r="B19" i="25"/>
  <c r="G18" i="37" l="1"/>
  <c r="G19" i="37" s="1"/>
  <c r="G20" i="37" s="1"/>
  <c r="G25" i="37" s="1"/>
  <c r="G35" i="37" s="1"/>
  <c r="O18" i="37"/>
  <c r="O19" i="37" s="1"/>
  <c r="O20" i="37" s="1"/>
  <c r="O25" i="37" s="1"/>
  <c r="O35" i="37" s="1"/>
  <c r="C18" i="37"/>
  <c r="C19" i="37" s="1"/>
  <c r="C20" i="37" s="1"/>
  <c r="C25" i="37" s="1"/>
  <c r="K18" i="37"/>
  <c r="E18" i="37"/>
  <c r="M18" i="37"/>
  <c r="M19" i="37" s="1"/>
  <c r="M20" i="37" s="1"/>
  <c r="M25" i="37" s="1"/>
  <c r="M35" i="37" s="1"/>
  <c r="J18" i="37"/>
  <c r="J19" i="37" s="1"/>
  <c r="J20" i="37" s="1"/>
  <c r="J25" i="37" s="1"/>
  <c r="J35" i="37" s="1"/>
  <c r="J18" i="14"/>
  <c r="J19" i="14" s="1"/>
  <c r="J20" i="14" s="1"/>
  <c r="J25" i="14" s="1"/>
  <c r="J35" i="14" s="1"/>
  <c r="D18" i="14"/>
  <c r="D19" i="14" s="1"/>
  <c r="D20" i="14" s="1"/>
  <c r="D25" i="14" s="1"/>
  <c r="D35" i="14" s="1"/>
  <c r="L18" i="14"/>
  <c r="L19" i="14" s="1"/>
  <c r="L20" i="14" s="1"/>
  <c r="L25" i="14" s="1"/>
  <c r="L35" i="14" s="1"/>
  <c r="P20" i="39"/>
  <c r="P25" i="39" s="1"/>
  <c r="P35" i="39" s="1"/>
  <c r="AF20" i="39"/>
  <c r="AF25" i="39" s="1"/>
  <c r="AF35" i="39" s="1"/>
  <c r="X20" i="39"/>
  <c r="X25" i="39" s="1"/>
  <c r="X35" i="39" s="1"/>
  <c r="L20" i="39"/>
  <c r="L25" i="39" s="1"/>
  <c r="L35" i="39" s="1"/>
  <c r="E18" i="14"/>
  <c r="E19" i="14" s="1"/>
  <c r="E20" i="14" s="1"/>
  <c r="E25" i="14" s="1"/>
  <c r="E35" i="14" s="1"/>
  <c r="I18" i="14"/>
  <c r="I19" i="14" s="1"/>
  <c r="I20" i="14" s="1"/>
  <c r="I25" i="14" s="1"/>
  <c r="I35" i="14" s="1"/>
  <c r="M18" i="14"/>
  <c r="M19" i="14" s="1"/>
  <c r="M20" i="14" s="1"/>
  <c r="M25" i="14" s="1"/>
  <c r="M35" i="14" s="1"/>
  <c r="Q18" i="14"/>
  <c r="Q19" i="14" s="1"/>
  <c r="Q20" i="14" s="1"/>
  <c r="Q25" i="14" s="1"/>
  <c r="Q35" i="14" s="1"/>
  <c r="F18" i="14"/>
  <c r="F19" i="14" s="1"/>
  <c r="F20" i="14" s="1"/>
  <c r="F25" i="14" s="1"/>
  <c r="F35" i="14" s="1"/>
  <c r="N18" i="14"/>
  <c r="N19" i="14" s="1"/>
  <c r="N20" i="14" s="1"/>
  <c r="N25" i="14" s="1"/>
  <c r="N35" i="14" s="1"/>
  <c r="C9" i="25"/>
  <c r="T20" i="39"/>
  <c r="T25" i="39" s="1"/>
  <c r="T35" i="39" s="1"/>
  <c r="G19" i="39"/>
  <c r="G20" i="39" s="1"/>
  <c r="G25" i="39" s="1"/>
  <c r="AE20" i="39"/>
  <c r="AE25" i="39" s="1"/>
  <c r="AE35" i="39" s="1"/>
  <c r="D18" i="37"/>
  <c r="D19" i="37" s="1"/>
  <c r="D20" i="37" s="1"/>
  <c r="D25" i="37" s="1"/>
  <c r="D35" i="37" s="1"/>
  <c r="H18" i="37"/>
  <c r="H19" i="37" s="1"/>
  <c r="H20" i="37" s="1"/>
  <c r="H25" i="37" s="1"/>
  <c r="H35" i="37" s="1"/>
  <c r="L18" i="37"/>
  <c r="L19" i="37" s="1"/>
  <c r="L20" i="37" s="1"/>
  <c r="L25" i="37" s="1"/>
  <c r="L35" i="37" s="1"/>
  <c r="P18" i="37"/>
  <c r="P19" i="37" s="1"/>
  <c r="P20" i="37" s="1"/>
  <c r="P25" i="37" s="1"/>
  <c r="P35" i="37" s="1"/>
  <c r="AG35" i="39"/>
  <c r="C35" i="39"/>
  <c r="E28" i="39"/>
  <c r="F28" i="39" s="1"/>
  <c r="G28" i="39" s="1"/>
  <c r="H28" i="39" s="1"/>
  <c r="C10" i="38"/>
  <c r="C10" i="26"/>
  <c r="F19" i="37"/>
  <c r="F20" i="37" s="1"/>
  <c r="F25" i="37" s="1"/>
  <c r="F35" i="37" s="1"/>
  <c r="V19" i="37"/>
  <c r="V20" i="37" s="1"/>
  <c r="V25" i="37" s="1"/>
  <c r="V35" i="37" s="1"/>
  <c r="N19" i="37"/>
  <c r="N20" i="37" s="1"/>
  <c r="N25" i="37" s="1"/>
  <c r="N35" i="37" s="1"/>
  <c r="I19" i="37"/>
  <c r="I20" i="37" s="1"/>
  <c r="I25" i="37" s="1"/>
  <c r="I35" i="37" s="1"/>
  <c r="Q19" i="37"/>
  <c r="Q20" i="37" s="1"/>
  <c r="Q25" i="37" s="1"/>
  <c r="Q35" i="37" s="1"/>
  <c r="R19" i="37"/>
  <c r="R20" i="37" s="1"/>
  <c r="R25" i="37" s="1"/>
  <c r="R35" i="37" s="1"/>
  <c r="U19" i="37"/>
  <c r="U20" i="37" s="1"/>
  <c r="U25" i="37" s="1"/>
  <c r="U35" i="37" s="1"/>
  <c r="K19" i="37"/>
  <c r="K20" i="37" s="1"/>
  <c r="K25" i="37" s="1"/>
  <c r="K35" i="37" s="1"/>
  <c r="S19" i="37"/>
  <c r="S20" i="37" s="1"/>
  <c r="S25" i="37" s="1"/>
  <c r="S35" i="37" s="1"/>
  <c r="W19" i="37"/>
  <c r="W20" i="37" s="1"/>
  <c r="W25" i="37" s="1"/>
  <c r="W35" i="37" s="1"/>
  <c r="T19" i="37"/>
  <c r="T20" i="37" s="1"/>
  <c r="T25" i="37" s="1"/>
  <c r="T35" i="37" s="1"/>
  <c r="E19" i="37"/>
  <c r="E20" i="37" s="1"/>
  <c r="E25" i="37" s="1"/>
  <c r="E35" i="37" s="1"/>
  <c r="X19" i="37"/>
  <c r="X20" i="37" s="1"/>
  <c r="X25" i="37" s="1"/>
  <c r="X35" i="37" s="1"/>
  <c r="C9" i="28"/>
  <c r="V19" i="14"/>
  <c r="V20" i="14" s="1"/>
  <c r="V25" i="14" s="1"/>
  <c r="V35" i="14" s="1"/>
  <c r="AD19" i="14"/>
  <c r="AD20" i="14" s="1"/>
  <c r="AD25" i="14" s="1"/>
  <c r="AD35" i="14" s="1"/>
  <c r="AL19" i="14"/>
  <c r="AL20" i="14" s="1"/>
  <c r="AL25" i="14" s="1"/>
  <c r="AL35" i="14" s="1"/>
  <c r="H19" i="14"/>
  <c r="H20" i="14" s="1"/>
  <c r="H25" i="14" s="1"/>
  <c r="H35" i="14" s="1"/>
  <c r="AE19" i="14"/>
  <c r="AE20" i="14" s="1"/>
  <c r="AE25" i="14" s="1"/>
  <c r="AE35" i="14" s="1"/>
  <c r="AJ19" i="14"/>
  <c r="AJ20" i="14" s="1"/>
  <c r="AJ25" i="14" s="1"/>
  <c r="AJ35" i="14" s="1"/>
  <c r="G19" i="14"/>
  <c r="G20" i="14" s="1"/>
  <c r="G25" i="14" s="1"/>
  <c r="G35" i="14" s="1"/>
  <c r="AF19" i="14"/>
  <c r="AF20" i="14" s="1"/>
  <c r="AF25" i="14" s="1"/>
  <c r="AF35" i="14" s="1"/>
  <c r="AB19" i="14"/>
  <c r="AB20" i="14" s="1"/>
  <c r="AB25" i="14" s="1"/>
  <c r="AB35" i="14" s="1"/>
  <c r="AC19" i="14"/>
  <c r="AC20" i="14" s="1"/>
  <c r="AC25" i="14" s="1"/>
  <c r="AC35" i="14" s="1"/>
  <c r="O19" i="14"/>
  <c r="O20" i="14" s="1"/>
  <c r="O25" i="14" s="1"/>
  <c r="O35" i="14" s="1"/>
  <c r="AK19" i="14"/>
  <c r="AK20" i="14" s="1"/>
  <c r="AK25" i="14" s="1"/>
  <c r="AK35" i="14" s="1"/>
  <c r="T19" i="14"/>
  <c r="T20" i="14" s="1"/>
  <c r="T25" i="14" s="1"/>
  <c r="T35" i="14" s="1"/>
  <c r="Y19" i="14"/>
  <c r="Y20" i="14" s="1"/>
  <c r="Y25" i="14" s="1"/>
  <c r="Y35" i="14" s="1"/>
  <c r="AG19" i="14"/>
  <c r="AG20" i="14" s="1"/>
  <c r="AG25" i="14" s="1"/>
  <c r="AG35" i="14" s="1"/>
  <c r="AO19" i="14"/>
  <c r="AO20" i="14" s="1"/>
  <c r="AO25" i="14" s="1"/>
  <c r="AO35" i="14" s="1"/>
  <c r="P19" i="14"/>
  <c r="P20" i="14" s="1"/>
  <c r="P25" i="14" s="1"/>
  <c r="P35" i="14" s="1"/>
  <c r="AM19" i="14"/>
  <c r="AM20" i="14" s="1"/>
  <c r="AM25" i="14" s="1"/>
  <c r="AM35" i="14" s="1"/>
  <c r="R19" i="14"/>
  <c r="R20" i="14" s="1"/>
  <c r="R25" i="14" s="1"/>
  <c r="R35" i="14" s="1"/>
  <c r="Z19" i="14"/>
  <c r="Z20" i="14" s="1"/>
  <c r="Z25" i="14" s="1"/>
  <c r="Z35" i="14" s="1"/>
  <c r="AH19" i="14"/>
  <c r="AH20" i="14" s="1"/>
  <c r="AH25" i="14" s="1"/>
  <c r="AH35" i="14" s="1"/>
  <c r="AP19" i="14"/>
  <c r="AP20" i="14" s="1"/>
  <c r="AP25" i="14" s="1"/>
  <c r="AP35" i="14" s="1"/>
  <c r="U19" i="14"/>
  <c r="U20" i="14" s="1"/>
  <c r="U25" i="14" s="1"/>
  <c r="U35" i="14" s="1"/>
  <c r="AN19" i="14"/>
  <c r="AN20" i="14" s="1"/>
  <c r="AN25" i="14" s="1"/>
  <c r="AN35" i="14" s="1"/>
  <c r="C19" i="14"/>
  <c r="C20" i="14" s="1"/>
  <c r="C25" i="14" s="1"/>
  <c r="K19" i="14"/>
  <c r="K20" i="14" s="1"/>
  <c r="K25" i="14" s="1"/>
  <c r="K35" i="14" s="1"/>
  <c r="S19" i="14"/>
  <c r="S20" i="14" s="1"/>
  <c r="S25" i="14" s="1"/>
  <c r="S35" i="14" s="1"/>
  <c r="AA19" i="14"/>
  <c r="AA20" i="14" s="1"/>
  <c r="AA25" i="14" s="1"/>
  <c r="AA35" i="14" s="1"/>
  <c r="AI19" i="14"/>
  <c r="AI20" i="14" s="1"/>
  <c r="AI25" i="14" s="1"/>
  <c r="AI35" i="14" s="1"/>
  <c r="AQ19" i="14"/>
  <c r="AQ20" i="14" s="1"/>
  <c r="AQ25" i="14" s="1"/>
  <c r="AQ35" i="14" s="1"/>
  <c r="W19" i="14"/>
  <c r="W20" i="14" s="1"/>
  <c r="W25" i="14" s="1"/>
  <c r="W35" i="14" s="1"/>
  <c r="X19" i="14"/>
  <c r="X20" i="14" s="1"/>
  <c r="X25" i="14" s="1"/>
  <c r="X35" i="14" s="1"/>
  <c r="C9" i="7"/>
  <c r="C28" i="39" l="1"/>
  <c r="C31" i="39" s="1"/>
  <c r="C32" i="39" s="1"/>
  <c r="G35" i="39"/>
  <c r="C38" i="39" s="1"/>
  <c r="C41" i="39" s="1"/>
  <c r="C42" i="39" s="1"/>
  <c r="B5" i="40" s="1"/>
  <c r="I28" i="39"/>
  <c r="J28" i="39" s="1"/>
  <c r="K28" i="39" s="1"/>
  <c r="L28" i="39" s="1"/>
  <c r="M28" i="39" s="1"/>
  <c r="N28" i="39" s="1"/>
  <c r="O28" i="39" s="1"/>
  <c r="P28" i="39" s="1"/>
  <c r="Q28" i="39" s="1"/>
  <c r="R28" i="39" s="1"/>
  <c r="S28" i="39" s="1"/>
  <c r="T28" i="39" s="1"/>
  <c r="U28" i="39" s="1"/>
  <c r="V28" i="39" s="1"/>
  <c r="W28" i="39" s="1"/>
  <c r="X28" i="39" s="1"/>
  <c r="Y28" i="39" s="1"/>
  <c r="Z28" i="39" s="1"/>
  <c r="AA28" i="39" s="1"/>
  <c r="AB28" i="39" s="1"/>
  <c r="AC28" i="39" s="1"/>
  <c r="AD28" i="39" s="1"/>
  <c r="AE28" i="39" s="1"/>
  <c r="AF28" i="39" s="1"/>
  <c r="AG28" i="39" s="1"/>
  <c r="AH28" i="39" s="1"/>
  <c r="E38" i="39"/>
  <c r="F38" i="39" s="1"/>
  <c r="G38" i="39" s="1"/>
  <c r="H38" i="39" s="1"/>
  <c r="E28" i="37"/>
  <c r="F28" i="37" s="1"/>
  <c r="G28" i="37" s="1"/>
  <c r="H28" i="37" s="1"/>
  <c r="I28" i="37" s="1"/>
  <c r="J28" i="37" s="1"/>
  <c r="K28" i="37" s="1"/>
  <c r="L28" i="37" s="1"/>
  <c r="M28" i="37" s="1"/>
  <c r="N28" i="37" s="1"/>
  <c r="O28" i="37" s="1"/>
  <c r="P28" i="37" s="1"/>
  <c r="Q28" i="37" s="1"/>
  <c r="R28" i="37" s="1"/>
  <c r="S28" i="37" s="1"/>
  <c r="T28" i="37" s="1"/>
  <c r="U28" i="37" s="1"/>
  <c r="V28" i="37" s="1"/>
  <c r="W28" i="37" s="1"/>
  <c r="X28" i="37" s="1"/>
  <c r="C35" i="37"/>
  <c r="C28" i="37"/>
  <c r="C31" i="37" s="1"/>
  <c r="C32" i="37" s="1"/>
  <c r="C35" i="14"/>
  <c r="C28" i="14"/>
  <c r="C31" i="14" s="1"/>
  <c r="C32" i="14" s="1"/>
  <c r="E28" i="14"/>
  <c r="F28" i="14" s="1"/>
  <c r="G28" i="14" s="1"/>
  <c r="H28" i="14" s="1"/>
  <c r="I28" i="14" s="1"/>
  <c r="J28" i="14" s="1"/>
  <c r="K28" i="14" s="1"/>
  <c r="L28" i="14" s="1"/>
  <c r="M28" i="14" s="1"/>
  <c r="N28" i="14" s="1"/>
  <c r="O28" i="14" s="1"/>
  <c r="P28" i="14" s="1"/>
  <c r="Q28" i="14" s="1"/>
  <c r="R28" i="14" s="1"/>
  <c r="S28" i="14" s="1"/>
  <c r="T28" i="14" s="1"/>
  <c r="U28" i="14" s="1"/>
  <c r="V28" i="14" s="1"/>
  <c r="W28" i="14" s="1"/>
  <c r="X28" i="14" s="1"/>
  <c r="Y28" i="14" s="1"/>
  <c r="Z28" i="14" s="1"/>
  <c r="AA28" i="14" s="1"/>
  <c r="AB28" i="14" s="1"/>
  <c r="AC28" i="14" s="1"/>
  <c r="AD28" i="14" s="1"/>
  <c r="AE28" i="14" s="1"/>
  <c r="AF28" i="14" s="1"/>
  <c r="AG28" i="14" s="1"/>
  <c r="AH28" i="14" s="1"/>
  <c r="AI28" i="14" s="1"/>
  <c r="AJ28" i="14" s="1"/>
  <c r="AK28" i="14" s="1"/>
  <c r="AL28" i="14" s="1"/>
  <c r="AM28" i="14" s="1"/>
  <c r="AN28" i="14" s="1"/>
  <c r="AO28" i="14" s="1"/>
  <c r="AP28" i="14" s="1"/>
  <c r="AQ28" i="14" s="1"/>
  <c r="AR28" i="14" s="1"/>
  <c r="C7" i="22"/>
  <c r="B19" i="22"/>
  <c r="I38" i="39" l="1"/>
  <c r="J38" i="39" s="1"/>
  <c r="K38" i="39" s="1"/>
  <c r="L38" i="39" s="1"/>
  <c r="M38" i="39" s="1"/>
  <c r="N38" i="39" s="1"/>
  <c r="O38" i="39" s="1"/>
  <c r="P38" i="39" s="1"/>
  <c r="Q38" i="39" s="1"/>
  <c r="R38" i="39" s="1"/>
  <c r="S38" i="39" s="1"/>
  <c r="T38" i="39" s="1"/>
  <c r="U38" i="39" s="1"/>
  <c r="V38" i="39" s="1"/>
  <c r="W38" i="39" s="1"/>
  <c r="X38" i="39" s="1"/>
  <c r="Y38" i="39" s="1"/>
  <c r="Z38" i="39" s="1"/>
  <c r="AA38" i="39" s="1"/>
  <c r="AB38" i="39" s="1"/>
  <c r="AC38" i="39" s="1"/>
  <c r="AD38" i="39" s="1"/>
  <c r="AE38" i="39" s="1"/>
  <c r="AF38" i="39" s="1"/>
  <c r="AG38" i="39" s="1"/>
  <c r="AH38" i="39" s="1"/>
  <c r="E38" i="37"/>
  <c r="F38" i="37" s="1"/>
  <c r="G38" i="37" s="1"/>
  <c r="H38" i="37" s="1"/>
  <c r="I38" i="37" s="1"/>
  <c r="J38" i="37" s="1"/>
  <c r="K38" i="37" s="1"/>
  <c r="L38" i="37" s="1"/>
  <c r="M38" i="37" s="1"/>
  <c r="N38" i="37" s="1"/>
  <c r="O38" i="37" s="1"/>
  <c r="P38" i="37" s="1"/>
  <c r="Q38" i="37" s="1"/>
  <c r="R38" i="37" s="1"/>
  <c r="S38" i="37" s="1"/>
  <c r="T38" i="37" s="1"/>
  <c r="U38" i="37" s="1"/>
  <c r="V38" i="37" s="1"/>
  <c r="W38" i="37" s="1"/>
  <c r="X38" i="37" s="1"/>
  <c r="C38" i="37"/>
  <c r="C41" i="37" s="1"/>
  <c r="C42" i="37" s="1"/>
  <c r="B6" i="38" s="1"/>
  <c r="E38" i="14"/>
  <c r="F38" i="14" s="1"/>
  <c r="G38" i="14" s="1"/>
  <c r="H38" i="14" s="1"/>
  <c r="I38" i="14" s="1"/>
  <c r="J38" i="14" s="1"/>
  <c r="K38" i="14" s="1"/>
  <c r="L38" i="14" s="1"/>
  <c r="M38" i="14" s="1"/>
  <c r="N38" i="14" s="1"/>
  <c r="O38" i="14" s="1"/>
  <c r="P38" i="14" s="1"/>
  <c r="Q38" i="14" s="1"/>
  <c r="R38" i="14" s="1"/>
  <c r="S38" i="14" s="1"/>
  <c r="T38" i="14" s="1"/>
  <c r="U38" i="14" s="1"/>
  <c r="V38" i="14" s="1"/>
  <c r="W38" i="14" s="1"/>
  <c r="X38" i="14" s="1"/>
  <c r="Y38" i="14" s="1"/>
  <c r="Z38" i="14" s="1"/>
  <c r="AA38" i="14" s="1"/>
  <c r="AB38" i="14" s="1"/>
  <c r="AC38" i="14" s="1"/>
  <c r="AD38" i="14" s="1"/>
  <c r="AE38" i="14" s="1"/>
  <c r="AF38" i="14" s="1"/>
  <c r="AG38" i="14" s="1"/>
  <c r="AH38" i="14" s="1"/>
  <c r="AI38" i="14" s="1"/>
  <c r="AJ38" i="14" s="1"/>
  <c r="AK38" i="14" s="1"/>
  <c r="AL38" i="14" s="1"/>
  <c r="AM38" i="14" s="1"/>
  <c r="AN38" i="14" s="1"/>
  <c r="AO38" i="14" s="1"/>
  <c r="AP38" i="14" s="1"/>
  <c r="AQ38" i="14" s="1"/>
  <c r="AR38" i="14" s="1"/>
  <c r="C38" i="14"/>
  <c r="C41" i="14" s="1"/>
  <c r="C42" i="14" s="1"/>
  <c r="B5" i="28" s="1"/>
  <c r="C9" i="22"/>
  <c r="C7" i="12"/>
  <c r="C9" i="12" s="1"/>
  <c r="B19" i="12"/>
  <c r="C8" i="2"/>
  <c r="C7" i="2"/>
  <c r="B19" i="2"/>
  <c r="C9" i="2" l="1"/>
  <c r="C7" i="23"/>
  <c r="B19" i="23"/>
  <c r="C8" i="23"/>
  <c r="C8" i="16"/>
  <c r="C7" i="8"/>
  <c r="C8" i="8"/>
  <c r="C9" i="23" l="1"/>
  <c r="C9" i="16"/>
  <c r="C9" i="8"/>
  <c r="C40" i="19"/>
  <c r="C40" i="11"/>
  <c r="C40" i="24" l="1"/>
  <c r="AQ22" i="24"/>
  <c r="AP22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AQ15" i="24"/>
  <c r="AQ17" i="24" s="1"/>
  <c r="AQ19" i="24" s="1"/>
  <c r="AP15" i="24"/>
  <c r="AP17" i="24" s="1"/>
  <c r="AP19" i="24" s="1"/>
  <c r="AO15" i="24"/>
  <c r="AO17" i="24" s="1"/>
  <c r="AO19" i="24" s="1"/>
  <c r="AO20" i="24" s="1"/>
  <c r="AO21" i="24" s="1"/>
  <c r="AN15" i="24"/>
  <c r="AN17" i="24" s="1"/>
  <c r="AN19" i="24" s="1"/>
  <c r="AM15" i="24"/>
  <c r="AM17" i="24" s="1"/>
  <c r="AM19" i="24" s="1"/>
  <c r="AL15" i="24"/>
  <c r="AL17" i="24" s="1"/>
  <c r="AL19" i="24" s="1"/>
  <c r="AK15" i="24"/>
  <c r="AK17" i="24" s="1"/>
  <c r="AK19" i="24" s="1"/>
  <c r="AK20" i="24" s="1"/>
  <c r="AJ15" i="24"/>
  <c r="AJ17" i="24" s="1"/>
  <c r="AJ19" i="24" s="1"/>
  <c r="AI15" i="24"/>
  <c r="AI17" i="24" s="1"/>
  <c r="AI19" i="24" s="1"/>
  <c r="AH15" i="24"/>
  <c r="AH17" i="24" s="1"/>
  <c r="AH19" i="24" s="1"/>
  <c r="AG15" i="24"/>
  <c r="AG17" i="24" s="1"/>
  <c r="AG19" i="24" s="1"/>
  <c r="AF15" i="24"/>
  <c r="AF17" i="24" s="1"/>
  <c r="AF19" i="24" s="1"/>
  <c r="AE15" i="24"/>
  <c r="AE17" i="24" s="1"/>
  <c r="AE19" i="24" s="1"/>
  <c r="AD15" i="24"/>
  <c r="AD17" i="24" s="1"/>
  <c r="AD19" i="24" s="1"/>
  <c r="AC15" i="24"/>
  <c r="AC17" i="24" s="1"/>
  <c r="AC19" i="24" s="1"/>
  <c r="AB15" i="24"/>
  <c r="AB17" i="24" s="1"/>
  <c r="AB19" i="24" s="1"/>
  <c r="AA15" i="24"/>
  <c r="AA17" i="24" s="1"/>
  <c r="AA19" i="24" s="1"/>
  <c r="Z15" i="24"/>
  <c r="Z17" i="24" s="1"/>
  <c r="Z19" i="24" s="1"/>
  <c r="Y15" i="24"/>
  <c r="Y17" i="24" s="1"/>
  <c r="Y19" i="24" s="1"/>
  <c r="Y20" i="24" s="1"/>
  <c r="Y21" i="24" s="1"/>
  <c r="X15" i="24"/>
  <c r="X17" i="24" s="1"/>
  <c r="X19" i="24" s="1"/>
  <c r="W15" i="24"/>
  <c r="W17" i="24" s="1"/>
  <c r="W19" i="24" s="1"/>
  <c r="V15" i="24"/>
  <c r="V17" i="24" s="1"/>
  <c r="V19" i="24" s="1"/>
  <c r="U15" i="24"/>
  <c r="U17" i="24" s="1"/>
  <c r="U19" i="24" s="1"/>
  <c r="U20" i="24" s="1"/>
  <c r="T15" i="24"/>
  <c r="T17" i="24" s="1"/>
  <c r="T19" i="24" s="1"/>
  <c r="S15" i="24"/>
  <c r="S17" i="24" s="1"/>
  <c r="S19" i="24" s="1"/>
  <c r="R15" i="24"/>
  <c r="R17" i="24" s="1"/>
  <c r="R19" i="24" s="1"/>
  <c r="Q15" i="24"/>
  <c r="Q17" i="24" s="1"/>
  <c r="P15" i="24"/>
  <c r="P17" i="24" s="1"/>
  <c r="P19" i="24" s="1"/>
  <c r="O15" i="24"/>
  <c r="O17" i="24" s="1"/>
  <c r="N15" i="24"/>
  <c r="N17" i="24" s="1"/>
  <c r="M15" i="24"/>
  <c r="M17" i="24" s="1"/>
  <c r="L15" i="24"/>
  <c r="L17" i="24" s="1"/>
  <c r="K15" i="24"/>
  <c r="K17" i="24" s="1"/>
  <c r="K19" i="24" s="1"/>
  <c r="J15" i="24"/>
  <c r="J17" i="24" s="1"/>
  <c r="I15" i="24"/>
  <c r="I17" i="24" s="1"/>
  <c r="H15" i="24"/>
  <c r="H17" i="24" s="1"/>
  <c r="H19" i="24" s="1"/>
  <c r="G15" i="24"/>
  <c r="G17" i="24" s="1"/>
  <c r="F15" i="24"/>
  <c r="F17" i="24" s="1"/>
  <c r="E15" i="24"/>
  <c r="E17" i="24" s="1"/>
  <c r="D15" i="24"/>
  <c r="D17" i="24" s="1"/>
  <c r="C15" i="24"/>
  <c r="C17" i="24" s="1"/>
  <c r="C39" i="15"/>
  <c r="D19" i="24" l="1"/>
  <c r="D20" i="24" s="1"/>
  <c r="D21" i="24" s="1"/>
  <c r="D26" i="24" s="1"/>
  <c r="D36" i="24" s="1"/>
  <c r="L19" i="24"/>
  <c r="E19" i="24"/>
  <c r="E20" i="24" s="1"/>
  <c r="M19" i="24"/>
  <c r="M20" i="24" s="1"/>
  <c r="M21" i="24" s="1"/>
  <c r="M26" i="24" s="1"/>
  <c r="M36" i="24" s="1"/>
  <c r="I19" i="24"/>
  <c r="I20" i="24" s="1"/>
  <c r="I21" i="24" s="1"/>
  <c r="I26" i="24" s="1"/>
  <c r="I36" i="24" s="1"/>
  <c r="Q19" i="24"/>
  <c r="Q20" i="24" s="1"/>
  <c r="Q21" i="24" s="1"/>
  <c r="Q26" i="24" s="1"/>
  <c r="Q36" i="24" s="1"/>
  <c r="F19" i="24"/>
  <c r="N19" i="24"/>
  <c r="N20" i="24" s="1"/>
  <c r="N21" i="24" s="1"/>
  <c r="N26" i="24" s="1"/>
  <c r="N36" i="24" s="1"/>
  <c r="AO26" i="24"/>
  <c r="AO36" i="24" s="1"/>
  <c r="Y26" i="24"/>
  <c r="Y36" i="24" s="1"/>
  <c r="C19" i="24"/>
  <c r="C20" i="24" s="1"/>
  <c r="C21" i="24" s="1"/>
  <c r="G19" i="24"/>
  <c r="G20" i="24" s="1"/>
  <c r="G21" i="24" s="1"/>
  <c r="G26" i="24" s="1"/>
  <c r="G36" i="24" s="1"/>
  <c r="O19" i="24"/>
  <c r="O20" i="24" s="1"/>
  <c r="O21" i="24" s="1"/>
  <c r="O26" i="24" s="1"/>
  <c r="O36" i="24" s="1"/>
  <c r="AC20" i="24"/>
  <c r="AC21" i="24" s="1"/>
  <c r="AC26" i="24" s="1"/>
  <c r="AC36" i="24" s="1"/>
  <c r="AP20" i="24"/>
  <c r="AP21" i="24" s="1"/>
  <c r="AP26" i="24" s="1"/>
  <c r="AP36" i="24" s="1"/>
  <c r="AK21" i="24"/>
  <c r="AK26" i="24" s="1"/>
  <c r="AK36" i="24" s="1"/>
  <c r="AG20" i="24"/>
  <c r="AG21" i="24" s="1"/>
  <c r="AG26" i="24" s="1"/>
  <c r="AG36" i="24" s="1"/>
  <c r="Z20" i="24"/>
  <c r="Z21" i="24" s="1"/>
  <c r="Z26" i="24" s="1"/>
  <c r="Z36" i="24" s="1"/>
  <c r="J19" i="24"/>
  <c r="J20" i="24" s="1"/>
  <c r="J21" i="24" s="1"/>
  <c r="J26" i="24" s="1"/>
  <c r="J36" i="24" s="1"/>
  <c r="U21" i="24"/>
  <c r="U26" i="24" s="1"/>
  <c r="U36" i="24" s="1"/>
  <c r="S20" i="24"/>
  <c r="S21" i="24" s="1"/>
  <c r="S26" i="24" s="1"/>
  <c r="S36" i="24" s="1"/>
  <c r="AI20" i="24"/>
  <c r="AI21" i="24" s="1"/>
  <c r="AI26" i="24" s="1"/>
  <c r="AI36" i="24" s="1"/>
  <c r="H20" i="24"/>
  <c r="H21" i="24" s="1"/>
  <c r="H26" i="24" s="1"/>
  <c r="H36" i="24" s="1"/>
  <c r="X20" i="24"/>
  <c r="X21" i="24"/>
  <c r="X26" i="24" s="1"/>
  <c r="X36" i="24" s="1"/>
  <c r="K20" i="24"/>
  <c r="K21" i="24" s="1"/>
  <c r="K26" i="24" s="1"/>
  <c r="K36" i="24" s="1"/>
  <c r="R20" i="24"/>
  <c r="R21" i="24" s="1"/>
  <c r="R26" i="24" s="1"/>
  <c r="R36" i="24" s="1"/>
  <c r="AB20" i="24"/>
  <c r="AB21" i="24" s="1"/>
  <c r="AB26" i="24" s="1"/>
  <c r="AB36" i="24" s="1"/>
  <c r="AL20" i="24"/>
  <c r="AL21" i="24" s="1"/>
  <c r="AL26" i="24" s="1"/>
  <c r="AL36" i="24" s="1"/>
  <c r="AD20" i="24"/>
  <c r="AD21" i="24" s="1"/>
  <c r="AD26" i="24" s="1"/>
  <c r="AD36" i="24" s="1"/>
  <c r="W20" i="24"/>
  <c r="W21" i="24" s="1"/>
  <c r="W26" i="24" s="1"/>
  <c r="W36" i="24" s="1"/>
  <c r="AE20" i="24"/>
  <c r="AE21" i="24" s="1"/>
  <c r="AE26" i="24" s="1"/>
  <c r="AE36" i="24" s="1"/>
  <c r="AM20" i="24"/>
  <c r="AM21" i="24" s="1"/>
  <c r="AM26" i="24" s="1"/>
  <c r="AM36" i="24" s="1"/>
  <c r="L20" i="24"/>
  <c r="L21" i="24" s="1"/>
  <c r="L26" i="24" s="1"/>
  <c r="L36" i="24" s="1"/>
  <c r="V20" i="24"/>
  <c r="V21" i="24" s="1"/>
  <c r="V26" i="24" s="1"/>
  <c r="V36" i="24" s="1"/>
  <c r="T20" i="24"/>
  <c r="T21" i="24" s="1"/>
  <c r="T26" i="24" s="1"/>
  <c r="T36" i="24" s="1"/>
  <c r="AJ20" i="24"/>
  <c r="AJ21" i="24" s="1"/>
  <c r="AJ26" i="24" s="1"/>
  <c r="AJ36" i="24" s="1"/>
  <c r="AN20" i="24"/>
  <c r="AN21" i="24" s="1"/>
  <c r="AN26" i="24" s="1"/>
  <c r="AN36" i="24" s="1"/>
  <c r="F20" i="24"/>
  <c r="F21" i="24" s="1"/>
  <c r="F26" i="24" s="1"/>
  <c r="F36" i="24" s="1"/>
  <c r="AF20" i="24"/>
  <c r="AF21" i="24" s="1"/>
  <c r="AF26" i="24" s="1"/>
  <c r="AF36" i="24" s="1"/>
  <c r="AQ20" i="24"/>
  <c r="AQ21" i="24" s="1"/>
  <c r="AQ26" i="24" s="1"/>
  <c r="AQ36" i="24" s="1"/>
  <c r="P20" i="24"/>
  <c r="P21" i="24" s="1"/>
  <c r="P26" i="24" s="1"/>
  <c r="P36" i="24" s="1"/>
  <c r="AA20" i="24"/>
  <c r="AA21" i="24" s="1"/>
  <c r="AA26" i="24" s="1"/>
  <c r="AA36" i="24" s="1"/>
  <c r="AH20" i="24"/>
  <c r="AH21" i="24"/>
  <c r="AH26" i="24" s="1"/>
  <c r="AH36" i="24" s="1"/>
  <c r="C40" i="17"/>
  <c r="E22" i="17"/>
  <c r="F22" i="17"/>
  <c r="I22" i="17"/>
  <c r="J22" i="17"/>
  <c r="N22" i="17"/>
  <c r="H22" i="17"/>
  <c r="P22" i="17"/>
  <c r="M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O22" i="17"/>
  <c r="L22" i="17"/>
  <c r="K22" i="17"/>
  <c r="G22" i="17"/>
  <c r="D22" i="17"/>
  <c r="C22" i="17"/>
  <c r="AM15" i="17"/>
  <c r="AM17" i="17" s="1"/>
  <c r="AM19" i="17" s="1"/>
  <c r="AM20" i="17" s="1"/>
  <c r="AI15" i="17"/>
  <c r="AI17" i="17" s="1"/>
  <c r="AI19" i="17" s="1"/>
  <c r="AI20" i="17" s="1"/>
  <c r="AE15" i="17"/>
  <c r="AE17" i="17" s="1"/>
  <c r="AE19" i="17" s="1"/>
  <c r="AE20" i="17" s="1"/>
  <c r="AA15" i="17"/>
  <c r="AA17" i="17" s="1"/>
  <c r="AA19" i="17" s="1"/>
  <c r="AA20" i="17" s="1"/>
  <c r="W15" i="17"/>
  <c r="W17" i="17" s="1"/>
  <c r="W19" i="17" s="1"/>
  <c r="W20" i="17" s="1"/>
  <c r="S15" i="17"/>
  <c r="S17" i="17" s="1"/>
  <c r="S19" i="17" s="1"/>
  <c r="S20" i="17" s="1"/>
  <c r="O15" i="17"/>
  <c r="O17" i="17" s="1"/>
  <c r="K15" i="17"/>
  <c r="K17" i="17" s="1"/>
  <c r="K19" i="17" s="1"/>
  <c r="K20" i="17" s="1"/>
  <c r="G15" i="17"/>
  <c r="G17" i="17" s="1"/>
  <c r="G19" i="17" s="1"/>
  <c r="G20" i="17" s="1"/>
  <c r="C15" i="17"/>
  <c r="C17" i="17" s="1"/>
  <c r="AQ15" i="17"/>
  <c r="AQ17" i="17" s="1"/>
  <c r="AQ19" i="17" s="1"/>
  <c r="AQ20" i="17" s="1"/>
  <c r="AP15" i="17"/>
  <c r="AP17" i="17" s="1"/>
  <c r="AP19" i="17" s="1"/>
  <c r="AP20" i="17" s="1"/>
  <c r="AO15" i="17"/>
  <c r="AO17" i="17" s="1"/>
  <c r="AO19" i="17" s="1"/>
  <c r="AO20" i="17" s="1"/>
  <c r="AN15" i="17"/>
  <c r="AN17" i="17" s="1"/>
  <c r="AN19" i="17" s="1"/>
  <c r="AN20" i="17" s="1"/>
  <c r="AL15" i="17"/>
  <c r="AL17" i="17" s="1"/>
  <c r="AL19" i="17" s="1"/>
  <c r="AL20" i="17" s="1"/>
  <c r="AK15" i="17"/>
  <c r="AK17" i="17" s="1"/>
  <c r="AK19" i="17" s="1"/>
  <c r="AK20" i="17" s="1"/>
  <c r="AJ15" i="17"/>
  <c r="AJ17" i="17" s="1"/>
  <c r="AJ19" i="17" s="1"/>
  <c r="AJ20" i="17" s="1"/>
  <c r="AH15" i="17"/>
  <c r="AH17" i="17" s="1"/>
  <c r="AH19" i="17" s="1"/>
  <c r="AH20" i="17" s="1"/>
  <c r="AG15" i="17"/>
  <c r="AG17" i="17" s="1"/>
  <c r="AG19" i="17" s="1"/>
  <c r="AG20" i="17" s="1"/>
  <c r="AF15" i="17"/>
  <c r="AF17" i="17" s="1"/>
  <c r="AF19" i="17" s="1"/>
  <c r="AF20" i="17" s="1"/>
  <c r="AD15" i="17"/>
  <c r="AD17" i="17" s="1"/>
  <c r="AD19" i="17" s="1"/>
  <c r="AD20" i="17" s="1"/>
  <c r="AC15" i="17"/>
  <c r="AC17" i="17" s="1"/>
  <c r="AC19" i="17" s="1"/>
  <c r="AC20" i="17" s="1"/>
  <c r="AB15" i="17"/>
  <c r="AB17" i="17" s="1"/>
  <c r="AB19" i="17" s="1"/>
  <c r="AB20" i="17" s="1"/>
  <c r="Z15" i="17"/>
  <c r="Z17" i="17" s="1"/>
  <c r="Z19" i="17" s="1"/>
  <c r="Z20" i="17" s="1"/>
  <c r="Y15" i="17"/>
  <c r="Y17" i="17" s="1"/>
  <c r="Y19" i="17" s="1"/>
  <c r="Y20" i="17" s="1"/>
  <c r="X15" i="17"/>
  <c r="X17" i="17" s="1"/>
  <c r="X19" i="17" s="1"/>
  <c r="X20" i="17" s="1"/>
  <c r="V15" i="17"/>
  <c r="V17" i="17" s="1"/>
  <c r="V19" i="17" s="1"/>
  <c r="V20" i="17" s="1"/>
  <c r="U15" i="17"/>
  <c r="U17" i="17" s="1"/>
  <c r="U19" i="17" s="1"/>
  <c r="U20" i="17" s="1"/>
  <c r="T15" i="17"/>
  <c r="T17" i="17" s="1"/>
  <c r="T19" i="17" s="1"/>
  <c r="T20" i="17" s="1"/>
  <c r="R15" i="17"/>
  <c r="R17" i="17" s="1"/>
  <c r="R19" i="17" s="1"/>
  <c r="R20" i="17" s="1"/>
  <c r="Q15" i="17"/>
  <c r="P15" i="17"/>
  <c r="P17" i="17" s="1"/>
  <c r="N15" i="17"/>
  <c r="M15" i="17"/>
  <c r="L15" i="17"/>
  <c r="L17" i="17" s="1"/>
  <c r="L19" i="17" s="1"/>
  <c r="L20" i="17" s="1"/>
  <c r="J15" i="17"/>
  <c r="I15" i="17"/>
  <c r="H15" i="17"/>
  <c r="H17" i="17" s="1"/>
  <c r="F15" i="17"/>
  <c r="E15" i="17"/>
  <c r="D15" i="17"/>
  <c r="D17" i="17" s="1"/>
  <c r="D19" i="17" s="1"/>
  <c r="D20" i="17" s="1"/>
  <c r="E21" i="24" l="1"/>
  <c r="E26" i="24" s="1"/>
  <c r="E36" i="24" s="1"/>
  <c r="P19" i="17"/>
  <c r="P20" i="17" s="1"/>
  <c r="H19" i="17"/>
  <c r="H20" i="17" s="1"/>
  <c r="O19" i="17"/>
  <c r="O20" i="17" s="1"/>
  <c r="C19" i="17"/>
  <c r="C20" i="17" s="1"/>
  <c r="N17" i="17"/>
  <c r="N19" i="17" s="1"/>
  <c r="N20" i="17" s="1"/>
  <c r="J17" i="17"/>
  <c r="J19" i="17" s="1"/>
  <c r="J20" i="17" s="1"/>
  <c r="F17" i="17"/>
  <c r="F19" i="17" s="1"/>
  <c r="F20" i="17" s="1"/>
  <c r="E17" i="17"/>
  <c r="E19" i="17" s="1"/>
  <c r="E20" i="17" s="1"/>
  <c r="I17" i="17"/>
  <c r="I19" i="17" s="1"/>
  <c r="I20" i="17" s="1"/>
  <c r="M17" i="17"/>
  <c r="M19" i="17" s="1"/>
  <c r="M20" i="17" s="1"/>
  <c r="AQ21" i="17"/>
  <c r="AQ26" i="17" s="1"/>
  <c r="AQ36" i="17" s="1"/>
  <c r="AE21" i="17"/>
  <c r="AE26" i="17" s="1"/>
  <c r="AE36" i="17" s="1"/>
  <c r="D21" i="17"/>
  <c r="D26" i="17" s="1"/>
  <c r="D36" i="17" s="1"/>
  <c r="L21" i="17"/>
  <c r="L26" i="17" s="1"/>
  <c r="L36" i="17" s="1"/>
  <c r="T21" i="17"/>
  <c r="T26" i="17" s="1"/>
  <c r="T36" i="17" s="1"/>
  <c r="AB21" i="17"/>
  <c r="AB26" i="17" s="1"/>
  <c r="AB36" i="17" s="1"/>
  <c r="AJ21" i="17"/>
  <c r="AJ26" i="17" s="1"/>
  <c r="AJ36" i="17" s="1"/>
  <c r="AI21" i="17"/>
  <c r="AI26" i="17" s="1"/>
  <c r="AI36" i="17" s="1"/>
  <c r="Y21" i="17"/>
  <c r="Y26" i="17" s="1"/>
  <c r="Y36" i="17" s="1"/>
  <c r="AC21" i="17"/>
  <c r="AC26" i="17" s="1"/>
  <c r="AC36" i="17" s="1"/>
  <c r="AG21" i="17"/>
  <c r="AG26" i="17" s="1"/>
  <c r="AG36" i="17" s="1"/>
  <c r="AK21" i="17"/>
  <c r="AK26" i="17" s="1"/>
  <c r="AK36" i="17" s="1"/>
  <c r="G21" i="17"/>
  <c r="G26" i="17" s="1"/>
  <c r="G36" i="17" s="1"/>
  <c r="W21" i="17"/>
  <c r="W26" i="17" s="1"/>
  <c r="W36" i="17" s="1"/>
  <c r="AM21" i="17"/>
  <c r="AM26" i="17" s="1"/>
  <c r="AM36" i="17" s="1"/>
  <c r="X21" i="17"/>
  <c r="X26" i="17" s="1"/>
  <c r="X36" i="17" s="1"/>
  <c r="AF21" i="17"/>
  <c r="AF26" i="17" s="1"/>
  <c r="AF36" i="17" s="1"/>
  <c r="AN21" i="17"/>
  <c r="AN26" i="17" s="1"/>
  <c r="AN36" i="17" s="1"/>
  <c r="S21" i="17"/>
  <c r="S26" i="17" s="1"/>
  <c r="S36" i="17" s="1"/>
  <c r="U21" i="17"/>
  <c r="U26" i="17" s="1"/>
  <c r="U36" i="17" s="1"/>
  <c r="R21" i="17"/>
  <c r="R26" i="17" s="1"/>
  <c r="R36" i="17" s="1"/>
  <c r="V21" i="17"/>
  <c r="V26" i="17" s="1"/>
  <c r="V36" i="17" s="1"/>
  <c r="Z21" i="17"/>
  <c r="Z26" i="17" s="1"/>
  <c r="Z36" i="17" s="1"/>
  <c r="AD21" i="17"/>
  <c r="AD26" i="17" s="1"/>
  <c r="AD36" i="17" s="1"/>
  <c r="AH21" i="17"/>
  <c r="AH26" i="17" s="1"/>
  <c r="AH36" i="17" s="1"/>
  <c r="AL21" i="17"/>
  <c r="AL26" i="17" s="1"/>
  <c r="AL36" i="17" s="1"/>
  <c r="AP21" i="17"/>
  <c r="AP26" i="17" s="1"/>
  <c r="AP36" i="17" s="1"/>
  <c r="K21" i="17"/>
  <c r="K26" i="17" s="1"/>
  <c r="K36" i="17" s="1"/>
  <c r="AA21" i="17"/>
  <c r="AA26" i="17" s="1"/>
  <c r="AA36" i="17" s="1"/>
  <c r="AO21" i="17"/>
  <c r="AO26" i="17" s="1"/>
  <c r="AO36" i="17" s="1"/>
  <c r="H21" i="17" l="1"/>
  <c r="H26" i="17" s="1"/>
  <c r="H36" i="17" s="1"/>
  <c r="P21" i="17"/>
  <c r="P26" i="17" s="1"/>
  <c r="P36" i="17" s="1"/>
  <c r="O21" i="17"/>
  <c r="O26" i="17" s="1"/>
  <c r="O36" i="17" s="1"/>
  <c r="C21" i="17"/>
  <c r="N21" i="17"/>
  <c r="N26" i="17" s="1"/>
  <c r="N36" i="17" s="1"/>
  <c r="J21" i="17"/>
  <c r="J26" i="17" s="1"/>
  <c r="J36" i="17" s="1"/>
  <c r="B5" i="23"/>
  <c r="E21" i="17"/>
  <c r="E26" i="17" s="1"/>
  <c r="E36" i="17" s="1"/>
  <c r="F21" i="17"/>
  <c r="F26" i="17" s="1"/>
  <c r="F36" i="17" s="1"/>
  <c r="M21" i="17"/>
  <c r="M26" i="17" s="1"/>
  <c r="M36" i="17" s="1"/>
  <c r="I21" i="17"/>
  <c r="I26" i="17" s="1"/>
  <c r="I36" i="17" s="1"/>
  <c r="AP22" i="19" l="1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AP15" i="19"/>
  <c r="AP17" i="19" s="1"/>
  <c r="AP19" i="19" s="1"/>
  <c r="AL15" i="19"/>
  <c r="AL17" i="19" s="1"/>
  <c r="AL19" i="19" s="1"/>
  <c r="AH15" i="19"/>
  <c r="AH17" i="19" s="1"/>
  <c r="AH19" i="19" s="1"/>
  <c r="AD15" i="19"/>
  <c r="AD17" i="19" s="1"/>
  <c r="AD19" i="19" s="1"/>
  <c r="Z15" i="19"/>
  <c r="Z17" i="19" s="1"/>
  <c r="Z19" i="19" s="1"/>
  <c r="V15" i="19"/>
  <c r="V17" i="19" s="1"/>
  <c r="V19" i="19" s="1"/>
  <c r="R15" i="19"/>
  <c r="R17" i="19" s="1"/>
  <c r="R19" i="19" s="1"/>
  <c r="N15" i="19"/>
  <c r="N17" i="19" s="1"/>
  <c r="J15" i="19"/>
  <c r="J17" i="19" s="1"/>
  <c r="J19" i="19" s="1"/>
  <c r="F15" i="19"/>
  <c r="F17" i="19" s="1"/>
  <c r="AO15" i="19"/>
  <c r="AO17" i="19" s="1"/>
  <c r="AO19" i="19" s="1"/>
  <c r="AN15" i="19"/>
  <c r="AN17" i="19" s="1"/>
  <c r="AN19" i="19" s="1"/>
  <c r="AM15" i="19"/>
  <c r="AM17" i="19" s="1"/>
  <c r="AM19" i="19" s="1"/>
  <c r="AK15" i="19"/>
  <c r="AK17" i="19" s="1"/>
  <c r="AK19" i="19" s="1"/>
  <c r="AJ15" i="19"/>
  <c r="AJ17" i="19" s="1"/>
  <c r="AJ19" i="19" s="1"/>
  <c r="AI15" i="19"/>
  <c r="AI17" i="19" s="1"/>
  <c r="AI19" i="19" s="1"/>
  <c r="AG15" i="19"/>
  <c r="AG17" i="19" s="1"/>
  <c r="AG19" i="19" s="1"/>
  <c r="AF15" i="19"/>
  <c r="AF17" i="19" s="1"/>
  <c r="AF19" i="19" s="1"/>
  <c r="AE15" i="19"/>
  <c r="AE17" i="19" s="1"/>
  <c r="AE19" i="19" s="1"/>
  <c r="AC15" i="19"/>
  <c r="AC17" i="19" s="1"/>
  <c r="AC19" i="19" s="1"/>
  <c r="AB15" i="19"/>
  <c r="AB17" i="19" s="1"/>
  <c r="AB19" i="19" s="1"/>
  <c r="AA15" i="19"/>
  <c r="AA17" i="19" s="1"/>
  <c r="AA19" i="19" s="1"/>
  <c r="Y15" i="19"/>
  <c r="Y17" i="19" s="1"/>
  <c r="Y19" i="19" s="1"/>
  <c r="X15" i="19"/>
  <c r="X17" i="19" s="1"/>
  <c r="X19" i="19" s="1"/>
  <c r="W15" i="19"/>
  <c r="W17" i="19" s="1"/>
  <c r="W19" i="19" s="1"/>
  <c r="U15" i="19"/>
  <c r="U17" i="19" s="1"/>
  <c r="U19" i="19" s="1"/>
  <c r="T15" i="19"/>
  <c r="T17" i="19" s="1"/>
  <c r="T19" i="19" s="1"/>
  <c r="S15" i="19"/>
  <c r="S17" i="19" s="1"/>
  <c r="S19" i="19" s="1"/>
  <c r="Q15" i="19"/>
  <c r="Q17" i="19" s="1"/>
  <c r="P15" i="19"/>
  <c r="P17" i="19" s="1"/>
  <c r="O15" i="19"/>
  <c r="O17" i="19" s="1"/>
  <c r="M15" i="19"/>
  <c r="M17" i="19" s="1"/>
  <c r="L15" i="19"/>
  <c r="L17" i="19" s="1"/>
  <c r="K15" i="19"/>
  <c r="K17" i="19" s="1"/>
  <c r="I15" i="19"/>
  <c r="I17" i="19" s="1"/>
  <c r="H15" i="19"/>
  <c r="H17" i="19" s="1"/>
  <c r="G15" i="19"/>
  <c r="G17" i="19" s="1"/>
  <c r="E15" i="19"/>
  <c r="E17" i="19" s="1"/>
  <c r="E19" i="19" s="1"/>
  <c r="D15" i="19"/>
  <c r="D17" i="19" s="1"/>
  <c r="D19" i="19" s="1"/>
  <c r="C15" i="19"/>
  <c r="C17" i="19" s="1"/>
  <c r="P19" i="19" l="1"/>
  <c r="M19" i="19"/>
  <c r="Q19" i="19"/>
  <c r="Q20" i="19" s="1"/>
  <c r="Q21" i="19" s="1"/>
  <c r="Q26" i="19" s="1"/>
  <c r="Q36" i="19" s="1"/>
  <c r="I19" i="19"/>
  <c r="I20" i="19" s="1"/>
  <c r="I21" i="19" s="1"/>
  <c r="I26" i="19" s="1"/>
  <c r="I36" i="19" s="1"/>
  <c r="N19" i="19"/>
  <c r="N20" i="19" s="1"/>
  <c r="N21" i="19" s="1"/>
  <c r="N26" i="19" s="1"/>
  <c r="N36" i="19" s="1"/>
  <c r="O19" i="19"/>
  <c r="O20" i="19" s="1"/>
  <c r="O21" i="19" s="1"/>
  <c r="O26" i="19" s="1"/>
  <c r="O36" i="19" s="1"/>
  <c r="F19" i="19"/>
  <c r="F20" i="19" s="1"/>
  <c r="F21" i="19" s="1"/>
  <c r="F26" i="19" s="1"/>
  <c r="F36" i="19" s="1"/>
  <c r="K19" i="19"/>
  <c r="K20" i="19" s="1"/>
  <c r="K21" i="19" s="1"/>
  <c r="K26" i="19" s="1"/>
  <c r="K36" i="19" s="1"/>
  <c r="G19" i="19"/>
  <c r="G20" i="19" s="1"/>
  <c r="G21" i="19" s="1"/>
  <c r="G26" i="19" s="1"/>
  <c r="G36" i="19" s="1"/>
  <c r="L19" i="19"/>
  <c r="C19" i="19"/>
  <c r="C20" i="19" s="1"/>
  <c r="C21" i="19" s="1"/>
  <c r="C26" i="19" s="1"/>
  <c r="H19" i="19"/>
  <c r="H20" i="19" s="1"/>
  <c r="V20" i="19"/>
  <c r="V21" i="19" s="1"/>
  <c r="V26" i="19" s="1"/>
  <c r="V36" i="19" s="1"/>
  <c r="AL20" i="19"/>
  <c r="AL21" i="19" s="1"/>
  <c r="AL26" i="19" s="1"/>
  <c r="AL36" i="19" s="1"/>
  <c r="AG20" i="19"/>
  <c r="AG21" i="19" s="1"/>
  <c r="AG26" i="19" s="1"/>
  <c r="AG36" i="19" s="1"/>
  <c r="AO20" i="19"/>
  <c r="AO21" i="19" s="1"/>
  <c r="AO26" i="19" s="1"/>
  <c r="AO36" i="19" s="1"/>
  <c r="W20" i="19"/>
  <c r="W21" i="19" s="1"/>
  <c r="W26" i="19" s="1"/>
  <c r="W36" i="19" s="1"/>
  <c r="AE20" i="19"/>
  <c r="AE21" i="19" s="1"/>
  <c r="AE26" i="19" s="1"/>
  <c r="AE36" i="19" s="1"/>
  <c r="AM20" i="19"/>
  <c r="AM21" i="19" s="1"/>
  <c r="AM26" i="19" s="1"/>
  <c r="AM36" i="19" s="1"/>
  <c r="R20" i="19"/>
  <c r="R21" i="19" s="1"/>
  <c r="R26" i="19" s="1"/>
  <c r="R36" i="19" s="1"/>
  <c r="L20" i="19"/>
  <c r="L21" i="19" s="1"/>
  <c r="L26" i="19" s="1"/>
  <c r="L36" i="19" s="1"/>
  <c r="T20" i="19"/>
  <c r="T21" i="19" s="1"/>
  <c r="T26" i="19" s="1"/>
  <c r="T36" i="19" s="1"/>
  <c r="AB20" i="19"/>
  <c r="AB21" i="19" s="1"/>
  <c r="AB26" i="19" s="1"/>
  <c r="AB36" i="19" s="1"/>
  <c r="AJ20" i="19"/>
  <c r="AJ21" i="19" s="1"/>
  <c r="AJ26" i="19" s="1"/>
  <c r="AJ36" i="19" s="1"/>
  <c r="Y20" i="19"/>
  <c r="Y21" i="19" s="1"/>
  <c r="Y26" i="19" s="1"/>
  <c r="Y36" i="19" s="1"/>
  <c r="E20" i="19"/>
  <c r="E21" i="19" s="1"/>
  <c r="E26" i="19" s="1"/>
  <c r="E36" i="19" s="1"/>
  <c r="U20" i="19"/>
  <c r="U21" i="19" s="1"/>
  <c r="U26" i="19" s="1"/>
  <c r="U36" i="19" s="1"/>
  <c r="AK20" i="19"/>
  <c r="AK21" i="19" s="1"/>
  <c r="AK26" i="19" s="1"/>
  <c r="AK36" i="19" s="1"/>
  <c r="AP20" i="19"/>
  <c r="AP21" i="19" s="1"/>
  <c r="AP26" i="19" s="1"/>
  <c r="AP36" i="19" s="1"/>
  <c r="S20" i="19"/>
  <c r="S21" i="19" s="1"/>
  <c r="S26" i="19" s="1"/>
  <c r="S36" i="19" s="1"/>
  <c r="AA20" i="19"/>
  <c r="AA21" i="19" s="1"/>
  <c r="AA26" i="19" s="1"/>
  <c r="AA36" i="19" s="1"/>
  <c r="AI20" i="19"/>
  <c r="AI21" i="19" s="1"/>
  <c r="AI26" i="19" s="1"/>
  <c r="AI36" i="19" s="1"/>
  <c r="AQ36" i="19"/>
  <c r="AH20" i="19"/>
  <c r="AH21" i="19" s="1"/>
  <c r="AH26" i="19" s="1"/>
  <c r="AH36" i="19" s="1"/>
  <c r="D20" i="19"/>
  <c r="D21" i="19" s="1"/>
  <c r="D26" i="19" s="1"/>
  <c r="D36" i="19" s="1"/>
  <c r="AF20" i="19"/>
  <c r="AF21" i="19" s="1"/>
  <c r="AF26" i="19" s="1"/>
  <c r="AF36" i="19" s="1"/>
  <c r="AN20" i="19"/>
  <c r="AN21" i="19" s="1"/>
  <c r="AN26" i="19" s="1"/>
  <c r="AN36" i="19" s="1"/>
  <c r="P20" i="19"/>
  <c r="P21" i="19" s="1"/>
  <c r="P26" i="19" s="1"/>
  <c r="P36" i="19" s="1"/>
  <c r="M20" i="19"/>
  <c r="M21" i="19" s="1"/>
  <c r="M26" i="19" s="1"/>
  <c r="M36" i="19" s="1"/>
  <c r="AC20" i="19"/>
  <c r="AC21" i="19" s="1"/>
  <c r="AC26" i="19" s="1"/>
  <c r="AC36" i="19" s="1"/>
  <c r="J20" i="19"/>
  <c r="J21" i="19" s="1"/>
  <c r="J26" i="19" s="1"/>
  <c r="J36" i="19" s="1"/>
  <c r="Z20" i="19"/>
  <c r="Z21" i="19" s="1"/>
  <c r="Z26" i="19" s="1"/>
  <c r="Z36" i="19" s="1"/>
  <c r="AD20" i="19"/>
  <c r="AD21" i="19" s="1"/>
  <c r="AD26" i="19" s="1"/>
  <c r="AD36" i="19" s="1"/>
  <c r="X20" i="19"/>
  <c r="X21" i="19" s="1"/>
  <c r="X26" i="19" s="1"/>
  <c r="X36" i="19" s="1"/>
  <c r="O25" i="15" l="1"/>
  <c r="O35" i="15" s="1"/>
  <c r="H21" i="19"/>
  <c r="H26" i="19" s="1"/>
  <c r="H36" i="19" s="1"/>
  <c r="N25" i="15"/>
  <c r="N35" i="15" s="1"/>
  <c r="F25" i="15"/>
  <c r="F35" i="15" s="1"/>
  <c r="E25" i="15"/>
  <c r="E35" i="15" s="1"/>
  <c r="G25" i="15"/>
  <c r="G35" i="15" s="1"/>
  <c r="L25" i="15"/>
  <c r="L35" i="15" s="1"/>
  <c r="H25" i="15"/>
  <c r="H35" i="15" s="1"/>
  <c r="C36" i="19"/>
  <c r="E29" i="19"/>
  <c r="F29" i="19" s="1"/>
  <c r="G29" i="19" s="1"/>
  <c r="H29" i="19" s="1"/>
  <c r="I29" i="19" s="1"/>
  <c r="S25" i="15"/>
  <c r="S35" i="15" s="1"/>
  <c r="W25" i="15"/>
  <c r="W35" i="15" s="1"/>
  <c r="P25" i="15"/>
  <c r="P35" i="15" s="1"/>
  <c r="T25" i="15"/>
  <c r="T35" i="15" s="1"/>
  <c r="X25" i="15"/>
  <c r="X35" i="15" s="1"/>
  <c r="AB25" i="15"/>
  <c r="AB35" i="15" s="1"/>
  <c r="AA25" i="15"/>
  <c r="AA35" i="15" s="1"/>
  <c r="D25" i="15"/>
  <c r="D35" i="15" s="1"/>
  <c r="I25" i="15"/>
  <c r="I35" i="15" s="1"/>
  <c r="M25" i="15"/>
  <c r="M35" i="15" s="1"/>
  <c r="Q25" i="15"/>
  <c r="Q35" i="15" s="1"/>
  <c r="U25" i="15"/>
  <c r="U35" i="15" s="1"/>
  <c r="Y25" i="15"/>
  <c r="Y35" i="15" s="1"/>
  <c r="AC25" i="15"/>
  <c r="AC35" i="15" s="1"/>
  <c r="J25" i="15"/>
  <c r="J35" i="15" s="1"/>
  <c r="V25" i="15"/>
  <c r="V35" i="15" s="1"/>
  <c r="Z25" i="15"/>
  <c r="Z35" i="15" s="1"/>
  <c r="R25" i="15"/>
  <c r="R35" i="15" s="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D15" i="11"/>
  <c r="AD17" i="11" s="1"/>
  <c r="AD19" i="11" s="1"/>
  <c r="AE15" i="11"/>
  <c r="AE17" i="11" s="1"/>
  <c r="AE19" i="11" s="1"/>
  <c r="AF15" i="11"/>
  <c r="AF17" i="11" s="1"/>
  <c r="AF19" i="11" s="1"/>
  <c r="AG15" i="11"/>
  <c r="AG17" i="11" s="1"/>
  <c r="AG19" i="11" s="1"/>
  <c r="AG20" i="11" s="1"/>
  <c r="AH15" i="11"/>
  <c r="AH17" i="11" s="1"/>
  <c r="AH19" i="11" s="1"/>
  <c r="AI15" i="11"/>
  <c r="AI17" i="11" s="1"/>
  <c r="AI19" i="11" s="1"/>
  <c r="AJ15" i="11"/>
  <c r="AJ17" i="11" s="1"/>
  <c r="AJ19" i="11" s="1"/>
  <c r="AK15" i="11"/>
  <c r="AK17" i="11" s="1"/>
  <c r="AK19" i="11" s="1"/>
  <c r="AK20" i="11" s="1"/>
  <c r="AL15" i="11"/>
  <c r="AL17" i="11" s="1"/>
  <c r="AL19" i="11" s="1"/>
  <c r="AM15" i="11"/>
  <c r="AM17" i="11" s="1"/>
  <c r="AM19" i="11" s="1"/>
  <c r="AN15" i="11"/>
  <c r="AN17" i="11" s="1"/>
  <c r="AN19" i="11" s="1"/>
  <c r="AO15" i="11"/>
  <c r="AO17" i="11" s="1"/>
  <c r="AO19" i="11" s="1"/>
  <c r="AO20" i="11" s="1"/>
  <c r="AP15" i="11"/>
  <c r="AP17" i="11" s="1"/>
  <c r="AP19" i="11" s="1"/>
  <c r="R15" i="11"/>
  <c r="R17" i="11" s="1"/>
  <c r="R19" i="11" s="1"/>
  <c r="S15" i="11"/>
  <c r="S17" i="11" s="1"/>
  <c r="S19" i="11" s="1"/>
  <c r="T15" i="11"/>
  <c r="T17" i="11" s="1"/>
  <c r="T19" i="11" s="1"/>
  <c r="U15" i="11"/>
  <c r="U17" i="11" s="1"/>
  <c r="U19" i="11" s="1"/>
  <c r="V15" i="11"/>
  <c r="V17" i="11" s="1"/>
  <c r="V19" i="11" s="1"/>
  <c r="W15" i="11"/>
  <c r="W17" i="11" s="1"/>
  <c r="W19" i="11" s="1"/>
  <c r="X15" i="11"/>
  <c r="X17" i="11" s="1"/>
  <c r="X19" i="11" s="1"/>
  <c r="Y15" i="11"/>
  <c r="Y17" i="11" s="1"/>
  <c r="Y19" i="11" s="1"/>
  <c r="Z15" i="11"/>
  <c r="Z17" i="11" s="1"/>
  <c r="Z19" i="11" s="1"/>
  <c r="AA15" i="11"/>
  <c r="AA17" i="11" s="1"/>
  <c r="AA19" i="11" s="1"/>
  <c r="AB15" i="11"/>
  <c r="AB17" i="11" s="1"/>
  <c r="AB19" i="11" s="1"/>
  <c r="AC15" i="11"/>
  <c r="AC17" i="11" s="1"/>
  <c r="AC19" i="11" s="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G15" i="11"/>
  <c r="G17" i="11" s="1"/>
  <c r="K15" i="11"/>
  <c r="K17" i="11" s="1"/>
  <c r="N15" i="11"/>
  <c r="N17" i="11" s="1"/>
  <c r="O15" i="11"/>
  <c r="O17" i="11" s="1"/>
  <c r="Q15" i="11"/>
  <c r="Q17" i="11" s="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J15" i="11"/>
  <c r="J17" i="11" s="1"/>
  <c r="J19" i="11" s="1"/>
  <c r="F15" i="11"/>
  <c r="F17" i="11" s="1"/>
  <c r="P15" i="11"/>
  <c r="P17" i="11" s="1"/>
  <c r="P19" i="11" s="1"/>
  <c r="M15" i="11"/>
  <c r="M17" i="11" s="1"/>
  <c r="L15" i="11"/>
  <c r="L17" i="11" s="1"/>
  <c r="I15" i="11"/>
  <c r="I17" i="11" s="1"/>
  <c r="I19" i="11" s="1"/>
  <c r="H15" i="11"/>
  <c r="H17" i="11" s="1"/>
  <c r="E15" i="11"/>
  <c r="E17" i="11" s="1"/>
  <c r="D15" i="11"/>
  <c r="D17" i="11" s="1"/>
  <c r="C15" i="11"/>
  <c r="C17" i="11" s="1"/>
  <c r="L21" i="10"/>
  <c r="K21" i="10"/>
  <c r="J21" i="10"/>
  <c r="I21" i="10"/>
  <c r="H21" i="10"/>
  <c r="G21" i="10"/>
  <c r="F21" i="10"/>
  <c r="E21" i="10"/>
  <c r="D21" i="10"/>
  <c r="C21" i="10"/>
  <c r="L14" i="10"/>
  <c r="L16" i="10" s="1"/>
  <c r="K14" i="10"/>
  <c r="K16" i="10" s="1"/>
  <c r="J14" i="10"/>
  <c r="J16" i="10" s="1"/>
  <c r="I14" i="10"/>
  <c r="I16" i="10" s="1"/>
  <c r="H14" i="10"/>
  <c r="H16" i="10" s="1"/>
  <c r="H18" i="10" s="1"/>
  <c r="H19" i="10" s="1"/>
  <c r="G14" i="10"/>
  <c r="G16" i="10" s="1"/>
  <c r="F14" i="10"/>
  <c r="F16" i="10" s="1"/>
  <c r="E14" i="10"/>
  <c r="E16" i="10" s="1"/>
  <c r="D14" i="10"/>
  <c r="D16" i="10" s="1"/>
  <c r="C14" i="10"/>
  <c r="C16" i="10" s="1"/>
  <c r="C29" i="19" l="1"/>
  <c r="C32" i="19" s="1"/>
  <c r="C33" i="19" s="1"/>
  <c r="J29" i="19"/>
  <c r="K29" i="19" s="1"/>
  <c r="L29" i="19" s="1"/>
  <c r="M29" i="19" s="1"/>
  <c r="N29" i="19" s="1"/>
  <c r="O29" i="19" s="1"/>
  <c r="P29" i="19" s="1"/>
  <c r="Q29" i="19" s="1"/>
  <c r="R29" i="19" s="1"/>
  <c r="S29" i="19" s="1"/>
  <c r="T29" i="19" s="1"/>
  <c r="U29" i="19" s="1"/>
  <c r="V29" i="19" s="1"/>
  <c r="W29" i="19" s="1"/>
  <c r="X29" i="19" s="1"/>
  <c r="Y29" i="19" s="1"/>
  <c r="Z29" i="19" s="1"/>
  <c r="AA29" i="19" s="1"/>
  <c r="AB29" i="19" s="1"/>
  <c r="AC29" i="19" s="1"/>
  <c r="AD29" i="19" s="1"/>
  <c r="AE29" i="19" s="1"/>
  <c r="AF29" i="19" s="1"/>
  <c r="AG29" i="19" s="1"/>
  <c r="AH29" i="19" s="1"/>
  <c r="AI29" i="19" s="1"/>
  <c r="AJ29" i="19" s="1"/>
  <c r="AK29" i="19" s="1"/>
  <c r="AL29" i="19" s="1"/>
  <c r="AM29" i="19" s="1"/>
  <c r="AN29" i="19" s="1"/>
  <c r="AO29" i="19" s="1"/>
  <c r="AP29" i="19" s="1"/>
  <c r="AQ29" i="19" s="1"/>
  <c r="AR29" i="19" s="1"/>
  <c r="L18" i="10"/>
  <c r="L19" i="10" s="1"/>
  <c r="D18" i="10"/>
  <c r="D19" i="10" s="1"/>
  <c r="H19" i="11"/>
  <c r="C19" i="11"/>
  <c r="C20" i="11" s="1"/>
  <c r="C21" i="11" s="1"/>
  <c r="C26" i="11" s="1"/>
  <c r="F19" i="11"/>
  <c r="G19" i="11"/>
  <c r="G20" i="11" s="1"/>
  <c r="G21" i="11" s="1"/>
  <c r="G26" i="11" s="1"/>
  <c r="G36" i="11" s="1"/>
  <c r="C18" i="10"/>
  <c r="C19" i="10" s="1"/>
  <c r="G18" i="10"/>
  <c r="G19" i="10" s="1"/>
  <c r="K18" i="10"/>
  <c r="K19" i="10" s="1"/>
  <c r="D19" i="11"/>
  <c r="D20" i="11" s="1"/>
  <c r="D21" i="11" s="1"/>
  <c r="D26" i="11" s="1"/>
  <c r="D36" i="11" s="1"/>
  <c r="L19" i="11"/>
  <c r="L20" i="11" s="1"/>
  <c r="L21" i="11" s="1"/>
  <c r="L26" i="11" s="1"/>
  <c r="L36" i="11" s="1"/>
  <c r="O19" i="11"/>
  <c r="K25" i="15"/>
  <c r="K35" i="15" s="1"/>
  <c r="Q19" i="11"/>
  <c r="Q20" i="11" s="1"/>
  <c r="Q21" i="11" s="1"/>
  <c r="Q26" i="11" s="1"/>
  <c r="Q36" i="11" s="1"/>
  <c r="C25" i="15"/>
  <c r="C35" i="15" s="1"/>
  <c r="E18" i="10"/>
  <c r="E19" i="10" s="1"/>
  <c r="E19" i="11"/>
  <c r="E20" i="11" s="1"/>
  <c r="E21" i="11" s="1"/>
  <c r="E26" i="11" s="1"/>
  <c r="E36" i="11" s="1"/>
  <c r="M19" i="11"/>
  <c r="M20" i="11" s="1"/>
  <c r="M21" i="11" s="1"/>
  <c r="M26" i="11" s="1"/>
  <c r="M36" i="11" s="1"/>
  <c r="N19" i="11"/>
  <c r="N20" i="11" s="1"/>
  <c r="N21" i="11" s="1"/>
  <c r="N26" i="11" s="1"/>
  <c r="N36" i="11" s="1"/>
  <c r="I18" i="10"/>
  <c r="I19" i="10" s="1"/>
  <c r="K19" i="11"/>
  <c r="K20" i="11" s="1"/>
  <c r="E39" i="19"/>
  <c r="F39" i="19" s="1"/>
  <c r="G39" i="19" s="1"/>
  <c r="H39" i="19" s="1"/>
  <c r="I39" i="19" s="1"/>
  <c r="J39" i="19" s="1"/>
  <c r="K39" i="19" s="1"/>
  <c r="L39" i="19" s="1"/>
  <c r="M39" i="19" s="1"/>
  <c r="N39" i="19" s="1"/>
  <c r="O39" i="19" s="1"/>
  <c r="P39" i="19" s="1"/>
  <c r="Q39" i="19" s="1"/>
  <c r="R39" i="19" s="1"/>
  <c r="S39" i="19" s="1"/>
  <c r="T39" i="19" s="1"/>
  <c r="U39" i="19" s="1"/>
  <c r="V39" i="19" s="1"/>
  <c r="W39" i="19" s="1"/>
  <c r="X39" i="19" s="1"/>
  <c r="Y39" i="19" s="1"/>
  <c r="Z39" i="19" s="1"/>
  <c r="AA39" i="19" s="1"/>
  <c r="AB39" i="19" s="1"/>
  <c r="AC39" i="19" s="1"/>
  <c r="AD39" i="19" s="1"/>
  <c r="AE39" i="19" s="1"/>
  <c r="AF39" i="19" s="1"/>
  <c r="AG39" i="19" s="1"/>
  <c r="AH39" i="19" s="1"/>
  <c r="AI39" i="19" s="1"/>
  <c r="AJ39" i="19" s="1"/>
  <c r="AK39" i="19" s="1"/>
  <c r="AL39" i="19" s="1"/>
  <c r="AM39" i="19" s="1"/>
  <c r="AN39" i="19" s="1"/>
  <c r="AO39" i="19" s="1"/>
  <c r="AP39" i="19" s="1"/>
  <c r="AQ39" i="19" s="1"/>
  <c r="AR39" i="19" s="1"/>
  <c r="C39" i="19"/>
  <c r="AN20" i="11"/>
  <c r="AN21" i="11" s="1"/>
  <c r="AN26" i="11" s="1"/>
  <c r="AN36" i="11" s="1"/>
  <c r="AJ20" i="11"/>
  <c r="AJ21" i="11" s="1"/>
  <c r="AJ26" i="11" s="1"/>
  <c r="AJ36" i="11" s="1"/>
  <c r="AF20" i="11"/>
  <c r="AF21" i="11" s="1"/>
  <c r="AF26" i="11" s="1"/>
  <c r="AF36" i="11" s="1"/>
  <c r="AQ36" i="11"/>
  <c r="AL20" i="11"/>
  <c r="AL21" i="11" s="1"/>
  <c r="AL26" i="11" s="1"/>
  <c r="AL36" i="11" s="1"/>
  <c r="AP20" i="11"/>
  <c r="AP21" i="11" s="1"/>
  <c r="AP26" i="11" s="1"/>
  <c r="AP36" i="11" s="1"/>
  <c r="AE20" i="11"/>
  <c r="AE21" i="11" s="1"/>
  <c r="AE26" i="11" s="1"/>
  <c r="AE36" i="11" s="1"/>
  <c r="AI20" i="11"/>
  <c r="AI21" i="11" s="1"/>
  <c r="AI26" i="11" s="1"/>
  <c r="AI36" i="11" s="1"/>
  <c r="AD20" i="11"/>
  <c r="AD21" i="11" s="1"/>
  <c r="AD26" i="11" s="1"/>
  <c r="AD36" i="11" s="1"/>
  <c r="AM20" i="11"/>
  <c r="AM21" i="11" s="1"/>
  <c r="AM26" i="11" s="1"/>
  <c r="AM36" i="11" s="1"/>
  <c r="AH20" i="11"/>
  <c r="AH21" i="11" s="1"/>
  <c r="AH26" i="11" s="1"/>
  <c r="AH36" i="11" s="1"/>
  <c r="AO21" i="11"/>
  <c r="AO26" i="11" s="1"/>
  <c r="AO36" i="11" s="1"/>
  <c r="AK21" i="11"/>
  <c r="AK26" i="11" s="1"/>
  <c r="AK36" i="11" s="1"/>
  <c r="AG21" i="11"/>
  <c r="AG26" i="11" s="1"/>
  <c r="AG36" i="11" s="1"/>
  <c r="AC20" i="11"/>
  <c r="AC21" i="11" s="1"/>
  <c r="AC26" i="11" s="1"/>
  <c r="AC36" i="11" s="1"/>
  <c r="Y20" i="11"/>
  <c r="Y21" i="11" s="1"/>
  <c r="Y26" i="11" s="1"/>
  <c r="Y36" i="11" s="1"/>
  <c r="U20" i="11"/>
  <c r="U21" i="11" s="1"/>
  <c r="U26" i="11" s="1"/>
  <c r="U36" i="11" s="1"/>
  <c r="AB20" i="11"/>
  <c r="AB21" i="11" s="1"/>
  <c r="AB26" i="11" s="1"/>
  <c r="AB36" i="11" s="1"/>
  <c r="X20" i="11"/>
  <c r="X21" i="11" s="1"/>
  <c r="X26" i="11" s="1"/>
  <c r="X36" i="11" s="1"/>
  <c r="T20" i="11"/>
  <c r="T21" i="11" s="1"/>
  <c r="T26" i="11" s="1"/>
  <c r="T36" i="11" s="1"/>
  <c r="AA20" i="11"/>
  <c r="AA21" i="11" s="1"/>
  <c r="AA26" i="11" s="1"/>
  <c r="AA36" i="11" s="1"/>
  <c r="W20" i="11"/>
  <c r="W21" i="11" s="1"/>
  <c r="W26" i="11" s="1"/>
  <c r="W36" i="11" s="1"/>
  <c r="S20" i="11"/>
  <c r="S21" i="11" s="1"/>
  <c r="S26" i="11" s="1"/>
  <c r="S36" i="11" s="1"/>
  <c r="Z20" i="11"/>
  <c r="Z21" i="11" s="1"/>
  <c r="Z26" i="11" s="1"/>
  <c r="Z36" i="11" s="1"/>
  <c r="V20" i="11"/>
  <c r="V21" i="11" s="1"/>
  <c r="V26" i="11" s="1"/>
  <c r="V36" i="11" s="1"/>
  <c r="R20" i="11"/>
  <c r="R21" i="11" s="1"/>
  <c r="R26" i="11" s="1"/>
  <c r="R36" i="11" s="1"/>
  <c r="H20" i="11"/>
  <c r="H21" i="11" s="1"/>
  <c r="H26" i="11" s="1"/>
  <c r="H36" i="11" s="1"/>
  <c r="P20" i="11"/>
  <c r="P21" i="11" s="1"/>
  <c r="P26" i="11" s="1"/>
  <c r="P36" i="11" s="1"/>
  <c r="F20" i="11"/>
  <c r="F21" i="11" s="1"/>
  <c r="F26" i="11" s="1"/>
  <c r="F36" i="11" s="1"/>
  <c r="I20" i="11"/>
  <c r="I21" i="11" s="1"/>
  <c r="I26" i="11" s="1"/>
  <c r="I36" i="11" s="1"/>
  <c r="J20" i="11"/>
  <c r="J21" i="11" s="1"/>
  <c r="J26" i="11" s="1"/>
  <c r="J36" i="11" s="1"/>
  <c r="O20" i="11"/>
  <c r="O21" i="11" s="1"/>
  <c r="O26" i="11" s="1"/>
  <c r="O36" i="11" s="1"/>
  <c r="H20" i="10"/>
  <c r="H25" i="10" s="1"/>
  <c r="H36" i="10" s="1"/>
  <c r="M36" i="10"/>
  <c r="D20" i="10"/>
  <c r="D25" i="10" s="1"/>
  <c r="D36" i="10" s="1"/>
  <c r="F18" i="10"/>
  <c r="F19" i="10" s="1"/>
  <c r="J18" i="10"/>
  <c r="J19" i="10" s="1"/>
  <c r="B19" i="8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C21" i="6"/>
  <c r="E21" i="6"/>
  <c r="D21" i="6"/>
  <c r="U14" i="6"/>
  <c r="U16" i="6" s="1"/>
  <c r="U18" i="6" s="1"/>
  <c r="P14" i="6"/>
  <c r="P16" i="6" s="1"/>
  <c r="P18" i="6" s="1"/>
  <c r="L14" i="6"/>
  <c r="L16" i="6" s="1"/>
  <c r="L18" i="6" s="1"/>
  <c r="X14" i="6"/>
  <c r="X16" i="6" s="1"/>
  <c r="X18" i="6" s="1"/>
  <c r="T14" i="6"/>
  <c r="T16" i="6" s="1"/>
  <c r="T18" i="6" s="1"/>
  <c r="H14" i="6"/>
  <c r="H16" i="6" s="1"/>
  <c r="H18" i="6" s="1"/>
  <c r="D14" i="6"/>
  <c r="D16" i="6" s="1"/>
  <c r="L20" i="10" l="1"/>
  <c r="L25" i="10" s="1"/>
  <c r="L36" i="10" s="1"/>
  <c r="K20" i="10"/>
  <c r="K25" i="10" s="1"/>
  <c r="K36" i="10" s="1"/>
  <c r="E20" i="10"/>
  <c r="E25" i="10" s="1"/>
  <c r="E36" i="10" s="1"/>
  <c r="G20" i="10"/>
  <c r="G25" i="10" s="1"/>
  <c r="G36" i="10" s="1"/>
  <c r="C20" i="10"/>
  <c r="C25" i="10" s="1"/>
  <c r="K21" i="11"/>
  <c r="K26" i="11" s="1"/>
  <c r="K36" i="11" s="1"/>
  <c r="I20" i="10"/>
  <c r="I25" i="10" s="1"/>
  <c r="I36" i="10" s="1"/>
  <c r="E28" i="15"/>
  <c r="F28" i="15" s="1"/>
  <c r="G28" i="15" s="1"/>
  <c r="H28" i="15" s="1"/>
  <c r="I28" i="15" s="1"/>
  <c r="J28" i="15" s="1"/>
  <c r="K28" i="15" s="1"/>
  <c r="L28" i="15" s="1"/>
  <c r="M28" i="15" s="1"/>
  <c r="N28" i="15" s="1"/>
  <c r="O28" i="15" s="1"/>
  <c r="P28" i="15" s="1"/>
  <c r="Q28" i="15" s="1"/>
  <c r="R28" i="15" s="1"/>
  <c r="S28" i="15" s="1"/>
  <c r="T28" i="15" s="1"/>
  <c r="U28" i="15" s="1"/>
  <c r="V28" i="15" s="1"/>
  <c r="W28" i="15" s="1"/>
  <c r="X28" i="15" s="1"/>
  <c r="Y28" i="15" s="1"/>
  <c r="Z28" i="15" s="1"/>
  <c r="AA28" i="15" s="1"/>
  <c r="AB28" i="15" s="1"/>
  <c r="AC28" i="15" s="1"/>
  <c r="C28" i="15"/>
  <c r="C42" i="19"/>
  <c r="C43" i="19" s="1"/>
  <c r="B6" i="26" s="1"/>
  <c r="E38" i="15"/>
  <c r="F38" i="15" s="1"/>
  <c r="G38" i="15" s="1"/>
  <c r="H38" i="15" s="1"/>
  <c r="I38" i="15" s="1"/>
  <c r="J38" i="15" s="1"/>
  <c r="K38" i="15" s="1"/>
  <c r="L38" i="15" s="1"/>
  <c r="M38" i="15" s="1"/>
  <c r="N38" i="15" s="1"/>
  <c r="O38" i="15" s="1"/>
  <c r="P38" i="15" s="1"/>
  <c r="Q38" i="15" s="1"/>
  <c r="R38" i="15" s="1"/>
  <c r="S38" i="15" s="1"/>
  <c r="T38" i="15" s="1"/>
  <c r="U38" i="15" s="1"/>
  <c r="V38" i="15" s="1"/>
  <c r="W38" i="15" s="1"/>
  <c r="X38" i="15" s="1"/>
  <c r="Y38" i="15" s="1"/>
  <c r="Z38" i="15" s="1"/>
  <c r="AA38" i="15" s="1"/>
  <c r="AB38" i="15" s="1"/>
  <c r="AC38" i="15" s="1"/>
  <c r="C38" i="15"/>
  <c r="C41" i="15" s="1"/>
  <c r="C42" i="15" s="1"/>
  <c r="B5" i="16" s="1"/>
  <c r="C36" i="11"/>
  <c r="E29" i="11"/>
  <c r="F29" i="11" s="1"/>
  <c r="G29" i="11" s="1"/>
  <c r="H29" i="11" s="1"/>
  <c r="I29" i="11" s="1"/>
  <c r="J29" i="11" s="1"/>
  <c r="K29" i="11" s="1"/>
  <c r="L29" i="11" s="1"/>
  <c r="M29" i="11" s="1"/>
  <c r="N29" i="11" s="1"/>
  <c r="O29" i="11" s="1"/>
  <c r="P29" i="11" s="1"/>
  <c r="Q29" i="11" s="1"/>
  <c r="R29" i="11" s="1"/>
  <c r="S29" i="11" s="1"/>
  <c r="T29" i="11" s="1"/>
  <c r="U29" i="11" s="1"/>
  <c r="V29" i="11" s="1"/>
  <c r="W29" i="11" s="1"/>
  <c r="X29" i="11" s="1"/>
  <c r="Y29" i="11" s="1"/>
  <c r="Z29" i="11" s="1"/>
  <c r="AA29" i="11" s="1"/>
  <c r="AB29" i="11" s="1"/>
  <c r="AC29" i="11" s="1"/>
  <c r="AD29" i="11" s="1"/>
  <c r="AE29" i="11" s="1"/>
  <c r="AF29" i="11" s="1"/>
  <c r="AG29" i="11" s="1"/>
  <c r="AH29" i="11" s="1"/>
  <c r="AI29" i="11" s="1"/>
  <c r="AJ29" i="11" s="1"/>
  <c r="AK29" i="11" s="1"/>
  <c r="AL29" i="11" s="1"/>
  <c r="AM29" i="11" s="1"/>
  <c r="AN29" i="11" s="1"/>
  <c r="AO29" i="11" s="1"/>
  <c r="AP29" i="11" s="1"/>
  <c r="AQ29" i="11" s="1"/>
  <c r="AR29" i="11" s="1"/>
  <c r="D18" i="6"/>
  <c r="D19" i="6" s="1"/>
  <c r="D20" i="6" s="1"/>
  <c r="D25" i="6" s="1"/>
  <c r="D35" i="6" s="1"/>
  <c r="E28" i="10"/>
  <c r="F28" i="10" s="1"/>
  <c r="C36" i="10"/>
  <c r="N36" i="10"/>
  <c r="J20" i="10"/>
  <c r="J25" i="10" s="1"/>
  <c r="J36" i="10" s="1"/>
  <c r="F20" i="10"/>
  <c r="F25" i="10" s="1"/>
  <c r="F36" i="10" s="1"/>
  <c r="U19" i="6"/>
  <c r="U20" i="6" s="1"/>
  <c r="U25" i="6" s="1"/>
  <c r="U35" i="6" s="1"/>
  <c r="E14" i="6"/>
  <c r="E16" i="6" s="1"/>
  <c r="E18" i="6" s="1"/>
  <c r="L19" i="6"/>
  <c r="L20" i="6" s="1"/>
  <c r="L25" i="6" s="1"/>
  <c r="L35" i="6" s="1"/>
  <c r="I14" i="6"/>
  <c r="I16" i="6" s="1"/>
  <c r="I18" i="6" s="1"/>
  <c r="Y14" i="6"/>
  <c r="Y16" i="6" s="1"/>
  <c r="Y18" i="6" s="1"/>
  <c r="P19" i="6"/>
  <c r="P20" i="6" s="1"/>
  <c r="P25" i="6" s="1"/>
  <c r="P35" i="6" s="1"/>
  <c r="M14" i="6"/>
  <c r="M16" i="6" s="1"/>
  <c r="M18" i="6" s="1"/>
  <c r="T19" i="6"/>
  <c r="T20" i="6" s="1"/>
  <c r="T25" i="6" s="1"/>
  <c r="T35" i="6" s="1"/>
  <c r="Q14" i="6"/>
  <c r="Q16" i="6" s="1"/>
  <c r="Q18" i="6" s="1"/>
  <c r="H19" i="6"/>
  <c r="H20" i="6" s="1"/>
  <c r="H25" i="6" s="1"/>
  <c r="H35" i="6" s="1"/>
  <c r="X19" i="6"/>
  <c r="X20" i="6" s="1"/>
  <c r="X25" i="6" s="1"/>
  <c r="X35" i="6" s="1"/>
  <c r="F14" i="6"/>
  <c r="F16" i="6" s="1"/>
  <c r="F18" i="6" s="1"/>
  <c r="J14" i="6"/>
  <c r="J16" i="6" s="1"/>
  <c r="J18" i="6" s="1"/>
  <c r="N14" i="6"/>
  <c r="N16" i="6" s="1"/>
  <c r="N18" i="6" s="1"/>
  <c r="R14" i="6"/>
  <c r="R16" i="6" s="1"/>
  <c r="R18" i="6" s="1"/>
  <c r="V14" i="6"/>
  <c r="V16" i="6" s="1"/>
  <c r="V18" i="6" s="1"/>
  <c r="Z14" i="6"/>
  <c r="Z16" i="6" s="1"/>
  <c r="Z18" i="6" s="1"/>
  <c r="G14" i="6"/>
  <c r="G16" i="6" s="1"/>
  <c r="G18" i="6" s="1"/>
  <c r="O14" i="6"/>
  <c r="O16" i="6" s="1"/>
  <c r="O18" i="6" s="1"/>
  <c r="AA14" i="6"/>
  <c r="AA16" i="6" s="1"/>
  <c r="AA18" i="6" s="1"/>
  <c r="C14" i="6"/>
  <c r="C16" i="6" s="1"/>
  <c r="C18" i="6" s="1"/>
  <c r="K14" i="6"/>
  <c r="K16" i="6" s="1"/>
  <c r="K18" i="6" s="1"/>
  <c r="S14" i="6"/>
  <c r="S16" i="6" s="1"/>
  <c r="S18" i="6" s="1"/>
  <c r="W14" i="6"/>
  <c r="W16" i="6" s="1"/>
  <c r="W18" i="6" s="1"/>
  <c r="G28" i="10" l="1"/>
  <c r="H28" i="10" s="1"/>
  <c r="I28" i="10" s="1"/>
  <c r="J28" i="10" s="1"/>
  <c r="K28" i="10" s="1"/>
  <c r="L28" i="10" s="1"/>
  <c r="M28" i="10" s="1"/>
  <c r="N28" i="10" s="1"/>
  <c r="C39" i="11"/>
  <c r="C42" i="11" s="1"/>
  <c r="C43" i="11" s="1"/>
  <c r="B5" i="7" s="1"/>
  <c r="C29" i="11"/>
  <c r="C32" i="11" s="1"/>
  <c r="C33" i="11" s="1"/>
  <c r="C31" i="15"/>
  <c r="C32" i="15" s="1"/>
  <c r="C39" i="10"/>
  <c r="C42" i="10" s="1"/>
  <c r="C43" i="10" s="1"/>
  <c r="B5" i="12" s="1"/>
  <c r="C28" i="10"/>
  <c r="C31" i="10" s="1"/>
  <c r="C32" i="10" s="1"/>
  <c r="E39" i="11"/>
  <c r="F39" i="11" s="1"/>
  <c r="G39" i="11" s="1"/>
  <c r="H39" i="11" s="1"/>
  <c r="I39" i="11" s="1"/>
  <c r="J39" i="11" s="1"/>
  <c r="K39" i="11" s="1"/>
  <c r="L39" i="11" s="1"/>
  <c r="M39" i="11" s="1"/>
  <c r="N39" i="11" s="1"/>
  <c r="O39" i="11" s="1"/>
  <c r="P39" i="11" s="1"/>
  <c r="Q39" i="11" s="1"/>
  <c r="R39" i="11" s="1"/>
  <c r="S39" i="11" s="1"/>
  <c r="T39" i="11" s="1"/>
  <c r="U39" i="11" s="1"/>
  <c r="V39" i="11" s="1"/>
  <c r="W39" i="11" s="1"/>
  <c r="X39" i="11" s="1"/>
  <c r="Y39" i="11" s="1"/>
  <c r="Z39" i="11" s="1"/>
  <c r="AA39" i="11" s="1"/>
  <c r="AB39" i="11" s="1"/>
  <c r="AC39" i="11" s="1"/>
  <c r="AD39" i="11" s="1"/>
  <c r="AE39" i="11" s="1"/>
  <c r="AF39" i="11" s="1"/>
  <c r="AG39" i="11" s="1"/>
  <c r="AH39" i="11" s="1"/>
  <c r="AI39" i="11" s="1"/>
  <c r="AJ39" i="11" s="1"/>
  <c r="AK39" i="11" s="1"/>
  <c r="AL39" i="11" s="1"/>
  <c r="AM39" i="11" s="1"/>
  <c r="AN39" i="11" s="1"/>
  <c r="AO39" i="11" s="1"/>
  <c r="AP39" i="11" s="1"/>
  <c r="AQ39" i="11" s="1"/>
  <c r="AR39" i="11" s="1"/>
  <c r="E39" i="10"/>
  <c r="F39" i="10" s="1"/>
  <c r="G39" i="10" s="1"/>
  <c r="H39" i="10" s="1"/>
  <c r="I39" i="10" s="1"/>
  <c r="J39" i="10" s="1"/>
  <c r="K39" i="10" s="1"/>
  <c r="L39" i="10" s="1"/>
  <c r="M39" i="10" s="1"/>
  <c r="N39" i="10" s="1"/>
  <c r="AA19" i="6"/>
  <c r="AA20" i="6" s="1"/>
  <c r="AA25" i="6" s="1"/>
  <c r="AA35" i="6" s="1"/>
  <c r="F19" i="6"/>
  <c r="F20" i="6" s="1"/>
  <c r="F25" i="6" s="1"/>
  <c r="F35" i="6" s="1"/>
  <c r="S19" i="6"/>
  <c r="S20" i="6" s="1"/>
  <c r="S25" i="6" s="1"/>
  <c r="S35" i="6" s="1"/>
  <c r="R19" i="6"/>
  <c r="R20" i="6" s="1"/>
  <c r="R25" i="6" s="1"/>
  <c r="R35" i="6" s="1"/>
  <c r="K19" i="6"/>
  <c r="K20" i="6" s="1"/>
  <c r="K25" i="6" s="1"/>
  <c r="K35" i="6" s="1"/>
  <c r="M19" i="6"/>
  <c r="M20" i="6" s="1"/>
  <c r="M25" i="6" s="1"/>
  <c r="M35" i="6" s="1"/>
  <c r="W19" i="6"/>
  <c r="W20" i="6" s="1"/>
  <c r="W25" i="6" s="1"/>
  <c r="W35" i="6" s="1"/>
  <c r="V19" i="6"/>
  <c r="V20" i="6" s="1"/>
  <c r="V25" i="6" s="1"/>
  <c r="V35" i="6" s="1"/>
  <c r="Y19" i="6"/>
  <c r="Y20" i="6" s="1"/>
  <c r="Y25" i="6" s="1"/>
  <c r="Y35" i="6" s="1"/>
  <c r="O19" i="6"/>
  <c r="O20" i="6" s="1"/>
  <c r="O25" i="6" s="1"/>
  <c r="O35" i="6" s="1"/>
  <c r="I19" i="6"/>
  <c r="I20" i="6" s="1"/>
  <c r="I25" i="6" s="1"/>
  <c r="I35" i="6" s="1"/>
  <c r="G19" i="6"/>
  <c r="G20" i="6" s="1"/>
  <c r="G25" i="6" s="1"/>
  <c r="G35" i="6" s="1"/>
  <c r="N19" i="6"/>
  <c r="N20" i="6" s="1"/>
  <c r="N25" i="6" s="1"/>
  <c r="N35" i="6" s="1"/>
  <c r="C19" i="6"/>
  <c r="C20" i="6" s="1"/>
  <c r="C25" i="6" s="1"/>
  <c r="Z19" i="6"/>
  <c r="Z20" i="6" s="1"/>
  <c r="Z25" i="6" s="1"/>
  <c r="Z35" i="6" s="1"/>
  <c r="J19" i="6"/>
  <c r="J20" i="6" s="1"/>
  <c r="J25" i="6" s="1"/>
  <c r="J35" i="6" s="1"/>
  <c r="Q19" i="6"/>
  <c r="Q20" i="6" s="1"/>
  <c r="Q25" i="6" s="1"/>
  <c r="Q35" i="6" s="1"/>
  <c r="E19" i="6"/>
  <c r="E20" i="6" s="1"/>
  <c r="E25" i="6" s="1"/>
  <c r="E35" i="6" s="1"/>
  <c r="E28" i="6" l="1"/>
  <c r="F28" i="6" s="1"/>
  <c r="G28" i="6" s="1"/>
  <c r="H28" i="6" s="1"/>
  <c r="I28" i="6" s="1"/>
  <c r="J28" i="6" s="1"/>
  <c r="K28" i="6" s="1"/>
  <c r="L28" i="6" s="1"/>
  <c r="M28" i="6" s="1"/>
  <c r="N28" i="6" s="1"/>
  <c r="O28" i="6" s="1"/>
  <c r="P28" i="6" s="1"/>
  <c r="Q28" i="6" s="1"/>
  <c r="R28" i="6" s="1"/>
  <c r="S28" i="6" s="1"/>
  <c r="T28" i="6" s="1"/>
  <c r="U28" i="6" s="1"/>
  <c r="V28" i="6" s="1"/>
  <c r="W28" i="6" s="1"/>
  <c r="X28" i="6" s="1"/>
  <c r="Y28" i="6" s="1"/>
  <c r="Z28" i="6" s="1"/>
  <c r="AA28" i="6" s="1"/>
  <c r="AB28" i="6" s="1"/>
  <c r="AC28" i="6" s="1"/>
  <c r="C28" i="6"/>
  <c r="C31" i="6" s="1"/>
  <c r="C32" i="6" s="1"/>
  <c r="C35" i="6"/>
  <c r="C38" i="6" s="1"/>
  <c r="E38" i="6" l="1"/>
  <c r="F38" i="6" s="1"/>
  <c r="G38" i="6" s="1"/>
  <c r="H38" i="6" s="1"/>
  <c r="I38" i="6" s="1"/>
  <c r="J38" i="6" s="1"/>
  <c r="K38" i="6" s="1"/>
  <c r="L38" i="6" s="1"/>
  <c r="M38" i="6" s="1"/>
  <c r="N38" i="6" s="1"/>
  <c r="O38" i="6" s="1"/>
  <c r="P38" i="6" s="1"/>
  <c r="Q38" i="6" s="1"/>
  <c r="R38" i="6" s="1"/>
  <c r="S38" i="6" s="1"/>
  <c r="T38" i="6" s="1"/>
  <c r="U38" i="6" s="1"/>
  <c r="V38" i="6" s="1"/>
  <c r="W38" i="6" s="1"/>
  <c r="X38" i="6" s="1"/>
  <c r="Y38" i="6" s="1"/>
  <c r="Z38" i="6" s="1"/>
  <c r="AA38" i="6" s="1"/>
  <c r="AB38" i="6" s="1"/>
  <c r="AC38" i="6" s="1"/>
  <c r="C41" i="6"/>
  <c r="C42" i="6" s="1"/>
  <c r="B5" i="8" s="1"/>
  <c r="H20" i="1" l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D20" i="1" l="1"/>
  <c r="E20" i="1"/>
  <c r="F20" i="1"/>
  <c r="G20" i="1"/>
  <c r="C20" i="1"/>
  <c r="C13" i="1" l="1"/>
  <c r="C15" i="1" s="1"/>
  <c r="C17" i="1" s="1"/>
  <c r="C18" i="1" s="1"/>
  <c r="C19" i="1" l="1"/>
  <c r="C24" i="1" s="1"/>
  <c r="D13" i="1"/>
  <c r="D15" i="1" s="1"/>
  <c r="D17" i="1" s="1"/>
  <c r="D18" i="1" s="1"/>
  <c r="E27" i="1" l="1"/>
  <c r="C35" i="1"/>
  <c r="E38" i="1" s="1"/>
  <c r="E13" i="1"/>
  <c r="E15" i="1" s="1"/>
  <c r="E17" i="1" s="1"/>
  <c r="E18" i="1" s="1"/>
  <c r="D19" i="1"/>
  <c r="D24" i="1" s="1"/>
  <c r="F27" i="1" l="1"/>
  <c r="D35" i="1"/>
  <c r="E19" i="1"/>
  <c r="F13" i="1"/>
  <c r="F15" i="1" s="1"/>
  <c r="F17" i="1" s="1"/>
  <c r="F18" i="1" s="1"/>
  <c r="F38" i="1" l="1"/>
  <c r="H13" i="1"/>
  <c r="H15" i="1" s="1"/>
  <c r="H17" i="1" s="1"/>
  <c r="H18" i="1" s="1"/>
  <c r="E24" i="1"/>
  <c r="F19" i="1"/>
  <c r="G13" i="1"/>
  <c r="G15" i="1" s="1"/>
  <c r="G17" i="1" s="1"/>
  <c r="G18" i="1" s="1"/>
  <c r="H19" i="1" l="1"/>
  <c r="H24" i="1" s="1"/>
  <c r="H35" i="1" s="1"/>
  <c r="G27" i="1"/>
  <c r="I13" i="1"/>
  <c r="I15" i="1" s="1"/>
  <c r="I17" i="1" s="1"/>
  <c r="I18" i="1" s="1"/>
  <c r="E35" i="1"/>
  <c r="F24" i="1"/>
  <c r="G19" i="1"/>
  <c r="G24" i="1" s="1"/>
  <c r="I19" i="1" l="1"/>
  <c r="I24" i="1" s="1"/>
  <c r="I35" i="1" s="1"/>
  <c r="H27" i="1"/>
  <c r="I27" i="1" s="1"/>
  <c r="J27" i="1" s="1"/>
  <c r="G38" i="1"/>
  <c r="F35" i="1"/>
  <c r="G35" i="1"/>
  <c r="J13" i="1"/>
  <c r="J15" i="1" s="1"/>
  <c r="J17" i="1" s="1"/>
  <c r="J18" i="1" s="1"/>
  <c r="K27" i="1" l="1"/>
  <c r="H38" i="1"/>
  <c r="I38" i="1" s="1"/>
  <c r="J38" i="1" s="1"/>
  <c r="K38" i="1" s="1"/>
  <c r="J19" i="1"/>
  <c r="J24" i="1" s="1"/>
  <c r="K13" i="1"/>
  <c r="K15" i="1" s="1"/>
  <c r="K17" i="1" s="1"/>
  <c r="K18" i="1" s="1"/>
  <c r="K19" i="1" l="1"/>
  <c r="K24" i="1" s="1"/>
  <c r="K35" i="1" s="1"/>
  <c r="J35" i="1"/>
  <c r="L38" i="1" s="1"/>
  <c r="L27" i="1"/>
  <c r="L13" i="1"/>
  <c r="L15" i="1" s="1"/>
  <c r="L17" i="1" s="1"/>
  <c r="L18" i="1" s="1"/>
  <c r="M27" i="1" l="1"/>
  <c r="M38" i="1"/>
  <c r="L19" i="1"/>
  <c r="L24" i="1" s="1"/>
  <c r="M13" i="1"/>
  <c r="M15" i="1" s="1"/>
  <c r="M17" i="1" s="1"/>
  <c r="M18" i="1" s="1"/>
  <c r="L35" i="1" l="1"/>
  <c r="N38" i="1" s="1"/>
  <c r="N27" i="1"/>
  <c r="M19" i="1"/>
  <c r="M24" i="1" s="1"/>
  <c r="M35" i="1" s="1"/>
  <c r="N13" i="1"/>
  <c r="N15" i="1" s="1"/>
  <c r="N17" i="1" s="1"/>
  <c r="N18" i="1" s="1"/>
  <c r="O38" i="1" l="1"/>
  <c r="N19" i="1"/>
  <c r="N24" i="1" s="1"/>
  <c r="O27" i="1"/>
  <c r="O13" i="1"/>
  <c r="O15" i="1" s="1"/>
  <c r="O17" i="1" s="1"/>
  <c r="O18" i="1" s="1"/>
  <c r="N35" i="1" l="1"/>
  <c r="P38" i="1" s="1"/>
  <c r="P27" i="1"/>
  <c r="O19" i="1"/>
  <c r="O24" i="1" s="1"/>
  <c r="O35" i="1" s="1"/>
  <c r="P13" i="1"/>
  <c r="P15" i="1" s="1"/>
  <c r="P17" i="1" s="1"/>
  <c r="P18" i="1" s="1"/>
  <c r="Q38" i="1" l="1"/>
  <c r="P19" i="1"/>
  <c r="P24" i="1" s="1"/>
  <c r="P35" i="1" s="1"/>
  <c r="Q27" i="1"/>
  <c r="Q13" i="1"/>
  <c r="Q15" i="1" s="1"/>
  <c r="Q17" i="1" s="1"/>
  <c r="Q18" i="1" s="1"/>
  <c r="R38" i="1" l="1"/>
  <c r="R27" i="1"/>
  <c r="Q19" i="1"/>
  <c r="Q24" i="1" s="1"/>
  <c r="R13" i="1"/>
  <c r="R15" i="1" s="1"/>
  <c r="R17" i="1" s="1"/>
  <c r="R18" i="1" s="1"/>
  <c r="S27" i="1" l="1"/>
  <c r="Q35" i="1"/>
  <c r="S38" i="1" s="1"/>
  <c r="R19" i="1"/>
  <c r="R24" i="1" s="1"/>
  <c r="S13" i="1"/>
  <c r="S15" i="1" s="1"/>
  <c r="S17" i="1" s="1"/>
  <c r="S18" i="1" s="1"/>
  <c r="R35" i="1" l="1"/>
  <c r="T38" i="1" s="1"/>
  <c r="T27" i="1"/>
  <c r="S19" i="1"/>
  <c r="S24" i="1" s="1"/>
  <c r="S35" i="1" s="1"/>
  <c r="T13" i="1"/>
  <c r="T15" i="1" s="1"/>
  <c r="T17" i="1" s="1"/>
  <c r="T18" i="1" s="1"/>
  <c r="U38" i="1" l="1"/>
  <c r="T19" i="1"/>
  <c r="T24" i="1" s="1"/>
  <c r="T35" i="1" s="1"/>
  <c r="U27" i="1"/>
  <c r="U13" i="1"/>
  <c r="U15" i="1" s="1"/>
  <c r="U17" i="1" s="1"/>
  <c r="U18" i="1" s="1"/>
  <c r="V38" i="1" l="1"/>
  <c r="V27" i="1"/>
  <c r="U19" i="1"/>
  <c r="U24" i="1" s="1"/>
  <c r="U35" i="1" s="1"/>
  <c r="V13" i="1"/>
  <c r="V15" i="1" s="1"/>
  <c r="V17" i="1" s="1"/>
  <c r="V18" i="1" s="1"/>
  <c r="W38" i="1" l="1"/>
  <c r="W27" i="1"/>
  <c r="V19" i="1"/>
  <c r="V24" i="1" s="1"/>
  <c r="C27" i="1" s="1"/>
  <c r="W13" i="1"/>
  <c r="W15" i="1" s="1"/>
  <c r="W17" i="1" s="1"/>
  <c r="W18" i="1" s="1"/>
  <c r="W19" i="1" s="1"/>
  <c r="W24" i="1" s="1"/>
  <c r="W35" i="1" s="1"/>
  <c r="X27" i="1" l="1"/>
  <c r="V35" i="1"/>
  <c r="C30" i="1"/>
  <c r="C31" i="1" s="1"/>
  <c r="X13" i="1"/>
  <c r="X15" i="1" s="1"/>
  <c r="X17" i="1" s="1"/>
  <c r="X18" i="1" s="1"/>
  <c r="X19" i="1" s="1"/>
  <c r="X24" i="1" s="1"/>
  <c r="X35" i="1" s="1"/>
  <c r="C38" i="1" l="1"/>
  <c r="C41" i="1" s="1"/>
  <c r="C42" i="1" s="1"/>
  <c r="B5" i="2" s="1"/>
  <c r="X38" i="1"/>
  <c r="Q17" i="17" l="1"/>
  <c r="Q19" i="17" s="1"/>
  <c r="Q20" i="17" s="1"/>
  <c r="Q22" i="17"/>
  <c r="Q21" i="17" l="1"/>
  <c r="Q26" i="17" s="1"/>
  <c r="Q36" i="17" s="1"/>
  <c r="C26" i="17"/>
  <c r="E29" i="17" s="1"/>
  <c r="F29" i="17" s="1"/>
  <c r="G29" i="17" s="1"/>
  <c r="H29" i="17" s="1"/>
  <c r="I29" i="17" s="1"/>
  <c r="J29" i="17" s="1"/>
  <c r="K29" i="17" s="1"/>
  <c r="L29" i="17" s="1"/>
  <c r="M29" i="17" s="1"/>
  <c r="N29" i="17" s="1"/>
  <c r="O29" i="17" s="1"/>
  <c r="P29" i="17" s="1"/>
  <c r="Q29" i="17" s="1"/>
  <c r="R29" i="17" s="1"/>
  <c r="S29" i="17" s="1"/>
  <c r="T29" i="17" s="1"/>
  <c r="U29" i="17" s="1"/>
  <c r="V29" i="17" s="1"/>
  <c r="W29" i="17" s="1"/>
  <c r="X29" i="17" s="1"/>
  <c r="Y29" i="17" s="1"/>
  <c r="Z29" i="17" s="1"/>
  <c r="AA29" i="17" s="1"/>
  <c r="AB29" i="17" s="1"/>
  <c r="AC29" i="17" s="1"/>
  <c r="AD29" i="17" s="1"/>
  <c r="AE29" i="17" s="1"/>
  <c r="AF29" i="17" s="1"/>
  <c r="AG29" i="17" s="1"/>
  <c r="AH29" i="17" s="1"/>
  <c r="AI29" i="17" s="1"/>
  <c r="AJ29" i="17" s="1"/>
  <c r="AK29" i="17" s="1"/>
  <c r="AL29" i="17" s="1"/>
  <c r="AM29" i="17" s="1"/>
  <c r="AN29" i="17" s="1"/>
  <c r="AO29" i="17" s="1"/>
  <c r="AP29" i="17" s="1"/>
  <c r="AQ29" i="17" s="1"/>
  <c r="AR29" i="17" s="1"/>
  <c r="C36" i="17" l="1"/>
  <c r="C29" i="17"/>
  <c r="C32" i="17" s="1"/>
  <c r="C33" i="17" s="1"/>
  <c r="E39" i="17" l="1"/>
  <c r="F39" i="17" s="1"/>
  <c r="G39" i="17" s="1"/>
  <c r="H39" i="17" s="1"/>
  <c r="I39" i="17" s="1"/>
  <c r="J39" i="17" s="1"/>
  <c r="K39" i="17" s="1"/>
  <c r="L39" i="17" s="1"/>
  <c r="M39" i="17" s="1"/>
  <c r="N39" i="17" s="1"/>
  <c r="O39" i="17" s="1"/>
  <c r="P39" i="17" s="1"/>
  <c r="Q39" i="17" s="1"/>
  <c r="R39" i="17" s="1"/>
  <c r="S39" i="17" s="1"/>
  <c r="T39" i="17" s="1"/>
  <c r="U39" i="17" s="1"/>
  <c r="V39" i="17" s="1"/>
  <c r="W39" i="17" s="1"/>
  <c r="X39" i="17" s="1"/>
  <c r="Y39" i="17" s="1"/>
  <c r="Z39" i="17" s="1"/>
  <c r="AA39" i="17" s="1"/>
  <c r="AB39" i="17" s="1"/>
  <c r="AC39" i="17" s="1"/>
  <c r="AD39" i="17" s="1"/>
  <c r="AE39" i="17" s="1"/>
  <c r="AF39" i="17" s="1"/>
  <c r="AG39" i="17" s="1"/>
  <c r="AH39" i="17" s="1"/>
  <c r="AI39" i="17" s="1"/>
  <c r="AJ39" i="17" s="1"/>
  <c r="AK39" i="17" s="1"/>
  <c r="AL39" i="17" s="1"/>
  <c r="AM39" i="17" s="1"/>
  <c r="AN39" i="17" s="1"/>
  <c r="AO39" i="17" s="1"/>
  <c r="AP39" i="17" s="1"/>
  <c r="AQ39" i="17" s="1"/>
  <c r="AR39" i="17" s="1"/>
  <c r="C39" i="17"/>
  <c r="C42" i="17" s="1"/>
  <c r="C43" i="17" s="1"/>
  <c r="B5" i="22" s="1"/>
  <c r="C26" i="24"/>
  <c r="E29" i="24" s="1"/>
  <c r="F29" i="24" s="1"/>
  <c r="G29" i="24" s="1"/>
  <c r="H29" i="24" s="1"/>
  <c r="I29" i="24" s="1"/>
  <c r="J29" i="24" s="1"/>
  <c r="K29" i="24" s="1"/>
  <c r="L29" i="24" s="1"/>
  <c r="M29" i="24" s="1"/>
  <c r="N29" i="24" s="1"/>
  <c r="O29" i="24" s="1"/>
  <c r="P29" i="24" s="1"/>
  <c r="Q29" i="24" s="1"/>
  <c r="R29" i="24" s="1"/>
  <c r="S29" i="24" s="1"/>
  <c r="T29" i="24" s="1"/>
  <c r="U29" i="24" s="1"/>
  <c r="V29" i="24" s="1"/>
  <c r="W29" i="24" s="1"/>
  <c r="X29" i="24" s="1"/>
  <c r="Y29" i="24" s="1"/>
  <c r="Z29" i="24" s="1"/>
  <c r="AA29" i="24" s="1"/>
  <c r="AB29" i="24" s="1"/>
  <c r="AC29" i="24" s="1"/>
  <c r="AD29" i="24" s="1"/>
  <c r="AE29" i="24" s="1"/>
  <c r="AF29" i="24" s="1"/>
  <c r="AG29" i="24" s="1"/>
  <c r="AH29" i="24" s="1"/>
  <c r="AI29" i="24" s="1"/>
  <c r="AJ29" i="24" s="1"/>
  <c r="AK29" i="24" s="1"/>
  <c r="AL29" i="24" s="1"/>
  <c r="AM29" i="24" s="1"/>
  <c r="AN29" i="24" s="1"/>
  <c r="AO29" i="24" s="1"/>
  <c r="AP29" i="24" s="1"/>
  <c r="AQ29" i="24" s="1"/>
  <c r="AR29" i="24" s="1"/>
  <c r="AS29" i="24" s="1"/>
  <c r="C36" i="24" l="1"/>
  <c r="C29" i="24"/>
  <c r="C32" i="24" s="1"/>
  <c r="C33" i="24" s="1"/>
  <c r="E39" i="24" l="1"/>
  <c r="F39" i="24" s="1"/>
  <c r="G39" i="24" s="1"/>
  <c r="H39" i="24" s="1"/>
  <c r="I39" i="24" s="1"/>
  <c r="J39" i="24" s="1"/>
  <c r="K39" i="24" s="1"/>
  <c r="L39" i="24" s="1"/>
  <c r="M39" i="24" s="1"/>
  <c r="N39" i="24" s="1"/>
  <c r="O39" i="24" s="1"/>
  <c r="P39" i="24" s="1"/>
  <c r="Q39" i="24" s="1"/>
  <c r="R39" i="24" s="1"/>
  <c r="S39" i="24" s="1"/>
  <c r="T39" i="24" s="1"/>
  <c r="U39" i="24" s="1"/>
  <c r="V39" i="24" s="1"/>
  <c r="W39" i="24" s="1"/>
  <c r="X39" i="24" s="1"/>
  <c r="Y39" i="24" s="1"/>
  <c r="Z39" i="24" s="1"/>
  <c r="AA39" i="24" s="1"/>
  <c r="AB39" i="24" s="1"/>
  <c r="AC39" i="24" s="1"/>
  <c r="AD39" i="24" s="1"/>
  <c r="AE39" i="24" s="1"/>
  <c r="AF39" i="24" s="1"/>
  <c r="AG39" i="24" s="1"/>
  <c r="AH39" i="24" s="1"/>
  <c r="AI39" i="24" s="1"/>
  <c r="AJ39" i="24" s="1"/>
  <c r="AK39" i="24" s="1"/>
  <c r="AL39" i="24" s="1"/>
  <c r="AM39" i="24" s="1"/>
  <c r="AN39" i="24" s="1"/>
  <c r="AO39" i="24" s="1"/>
  <c r="AP39" i="24" s="1"/>
  <c r="AQ39" i="24" s="1"/>
  <c r="AR39" i="24" s="1"/>
  <c r="AS39" i="24" s="1"/>
  <c r="C39" i="24"/>
  <c r="C42" i="24" s="1"/>
  <c r="C43" i="24" s="1"/>
  <c r="B5" i="25" s="1"/>
  <c r="C24" i="47"/>
  <c r="C27" i="47" s="1"/>
  <c r="C30" i="47" s="1"/>
  <c r="C31" i="47" s="1"/>
  <c r="E27" i="47" l="1"/>
  <c r="F27" i="47" s="1"/>
  <c r="G27" i="47" s="1"/>
  <c r="H27" i="47" s="1"/>
  <c r="I27" i="47" s="1"/>
  <c r="J27" i="47" s="1"/>
  <c r="K27" i="47" s="1"/>
  <c r="L27" i="47" s="1"/>
  <c r="M27" i="47" s="1"/>
  <c r="N27" i="47" s="1"/>
  <c r="O27" i="47" s="1"/>
  <c r="P27" i="47" s="1"/>
  <c r="Q27" i="47" s="1"/>
  <c r="R27" i="47" s="1"/>
  <c r="S27" i="47" s="1"/>
  <c r="C34" i="47"/>
  <c r="E37" i="47" l="1"/>
  <c r="F37" i="47" s="1"/>
  <c r="G37" i="47" s="1"/>
  <c r="H37" i="47" s="1"/>
  <c r="I37" i="47" s="1"/>
  <c r="J37" i="47" s="1"/>
  <c r="K37" i="47" s="1"/>
  <c r="L37" i="47" s="1"/>
  <c r="M37" i="47" s="1"/>
  <c r="N37" i="47" s="1"/>
  <c r="O37" i="47" s="1"/>
  <c r="P37" i="47" s="1"/>
  <c r="Q37" i="47" s="1"/>
  <c r="R37" i="47" s="1"/>
  <c r="S37" i="47" s="1"/>
  <c r="C37" i="47"/>
  <c r="C40" i="47" s="1"/>
  <c r="C41" i="47" s="1"/>
  <c r="B5" i="48" s="1"/>
</calcChain>
</file>

<file path=xl/sharedStrings.xml><?xml version="1.0" encoding="utf-8"?>
<sst xmlns="http://schemas.openxmlformats.org/spreadsheetml/2006/main" count="2839" uniqueCount="340">
  <si>
    <t>Jaar 1</t>
  </si>
  <si>
    <t>EBITDA</t>
  </si>
  <si>
    <t>EBIT</t>
  </si>
  <si>
    <t>EBT</t>
  </si>
  <si>
    <t xml:space="preserve">EAT </t>
  </si>
  <si>
    <t xml:space="preserve">Cashflow </t>
  </si>
  <si>
    <t>Contante waarde cashflow</t>
  </si>
  <si>
    <t>Som waarde cashflows</t>
  </si>
  <si>
    <t>Opbrengst</t>
  </si>
  <si>
    <t>(R)ROI - real ROI (NCW / investering)</t>
  </si>
  <si>
    <t xml:space="preserve">(S)ROI - simple ROI (opbrengst zonder tijdwaarde / investering) </t>
  </si>
  <si>
    <t>Verwachte ROI</t>
  </si>
  <si>
    <t>Verwachte comfortstijging / experience</t>
  </si>
  <si>
    <t>Toelichting op de scores</t>
  </si>
  <si>
    <t>Netto contante waarde van de investering</t>
  </si>
  <si>
    <t>Som contante waarde cashflows</t>
  </si>
  <si>
    <t xml:space="preserve">Afschrijvingskosten van de investering op jaarbasis (constante kosten):  boekhoudkundig of vanuit economische levensduur/contante waarde </t>
  </si>
  <si>
    <t>Totale investeringen in duurzame energietechniek</t>
  </si>
  <si>
    <t>zonder jaarlijkse kosten zoals onderhoud</t>
  </si>
  <si>
    <t>Bijkomende kostenpost 4 (constante kosten overig)</t>
  </si>
  <si>
    <t>Belasting (winstbelasting, geen BTW): zetten we nu op 25%</t>
  </si>
  <si>
    <t xml:space="preserve">Bijkomende kostenpost 5 (overig, aan energietechniek gerelateerd) </t>
  </si>
  <si>
    <t xml:space="preserve">Bijkomende kostenpost 2 door gebuik (variabele kosten overig op energietechnieken) </t>
  </si>
  <si>
    <t>Interest (eventueel geleend gedrag tegen bijvoorbeeld bij 4%; aflossen 5 jaar)</t>
  </si>
  <si>
    <t>Afschrijving (bv over 5 jaar met restwaarde eind levensduur)</t>
  </si>
  <si>
    <t>Bijkomende kostenpost 3 (constante kosten per jaar: onderhoudskosten van energietechnieken - 750/dag per onderhoudsman als voorbeeld)</t>
  </si>
  <si>
    <t>Bijkomende kostenpost 1 door gebruik (variabale kosten op energietechnieken, bv 5% van de opbrengst)</t>
  </si>
  <si>
    <t>ROI-berekening zonder contante waarde</t>
  </si>
  <si>
    <t>ROI-berekening met contante waarde</t>
  </si>
  <si>
    <t>Boekhoudkundig</t>
  </si>
  <si>
    <t>Economisch</t>
  </si>
  <si>
    <t xml:space="preserve">Contante waarde berekening: vereiste rentabiliteit (tijd) </t>
  </si>
  <si>
    <t xml:space="preserve">Totale investeringen in duurzame energietechniek </t>
  </si>
  <si>
    <t>Subsidiebedrag TERTS - mag worden 50% per techniek / combinatie - in reglement</t>
  </si>
  <si>
    <t>Interest (eventueel geleend gedrag tegen bijvoorbeeld bij 4%; aflossen in lijn met afschrijving)</t>
  </si>
  <si>
    <t>Afschrijving</t>
  </si>
  <si>
    <t xml:space="preserve">Bijkomende kostenpost 2 door gebruik (variabele kosten overig op energietechnieken) </t>
  </si>
  <si>
    <t>Netto contante waarde van de investering (NCW / NPV)</t>
  </si>
  <si>
    <t>Afschrijvingskosten van de investering op jaarbasis (constante kosten): levensduur 20 jaar</t>
  </si>
  <si>
    <t>Restwaarde (aan einde levensduur: hier 0)</t>
  </si>
  <si>
    <t>Som contante waarde cashflows: hier einde levensduur</t>
  </si>
  <si>
    <t xml:space="preserve">Som waarde cashflows: levensduur </t>
  </si>
  <si>
    <t>Bijkomende kostenpost 1 door gebruik (variabale kosten op energietechnieken: hier extra gasverbruik)</t>
  </si>
  <si>
    <t xml:space="preserve">(in dit geval na 8 jaar positief, dus TVT = 8 jaar) </t>
  </si>
  <si>
    <t>Terugverdientijd</t>
  </si>
  <si>
    <t>Restwaarde (na einde levensduur): voor het gemak 0</t>
  </si>
  <si>
    <t xml:space="preserve">Bijkomende kostenpost 3 Onderhouds/herstel-kosten </t>
  </si>
  <si>
    <t>(in dit geval nooit positief , dus na 10 jaar geen TVT)</t>
  </si>
  <si>
    <t>Bijkomende kostenpost 3 Onderhouds/herstel-kosten</t>
  </si>
  <si>
    <t>Bijkomende kostenpost 1 Boilervat 1200 - in investering opgenomen</t>
  </si>
  <si>
    <t>Bijkomende kostenpost 2 Installatie 1800 - in investering opgenomen</t>
  </si>
  <si>
    <t xml:space="preserve">(in dit geval na 5 jaar positief, dus TVT = 5 jaar) </t>
  </si>
  <si>
    <t>(in dit geval na 6 jaar positief, dus TVT = 6 jaar)</t>
  </si>
  <si>
    <t>Opbrengst (besparing: 10 jaar lang 100 dagen per jaar met 12 kWh per dag)</t>
  </si>
  <si>
    <t>Bijkomende kostenpost 1</t>
  </si>
  <si>
    <t>Bijkomende kostenpost 2 Installatie (is opgenomen in investering)</t>
  </si>
  <si>
    <t>(in dit geval na 9 jaar positief , dus TVT =  9 jaar)</t>
  </si>
  <si>
    <t>Afschrijving (over 25 jaar met restwaarde eind levensduur)</t>
  </si>
  <si>
    <t xml:space="preserve">Afschrijvingskosten van de investering op jaarbasis (constante kosten): over 25 jaar </t>
  </si>
  <si>
    <t>Afschrijvingskosten van de investering op jaarbasis (constante kosten):  over 25 jaar</t>
  </si>
  <si>
    <t>(zonder TERTS geen TVT; met TERTS subsidie na 11 jaar positief , dus TVT =  11 jaar)</t>
  </si>
  <si>
    <t>Afschrijving ( over 15 jaar met 0 restwaarde eind levensduur)</t>
  </si>
  <si>
    <t>Restaurant 50 m2, 8KW</t>
  </si>
  <si>
    <t>Totale investeringen in duurzame energietechniek  - sec 6500, met boilervat 1200 en installatie 1800</t>
  </si>
  <si>
    <t>Bijkomende kostenpost 1 Boilervat 2000 - in investering opgenomen</t>
  </si>
  <si>
    <t>Totale investeringen in duurzame energietechniek  - sec 6500, met boilervat 2000 en installatie 3000</t>
  </si>
  <si>
    <t xml:space="preserve">Bijkomende kostenpost 1 Boilervat: </t>
  </si>
  <si>
    <t>Totale investeringen in duurzame energietechniek (sec 4250 + 1500 installatie)</t>
  </si>
  <si>
    <t>Bijkomende kostenpost 2 Installatie 1500 (in totale investering opgenomen)</t>
  </si>
  <si>
    <t>Bijkomende kostenpost 1 Boilervat 2000  opgenomen in investering</t>
  </si>
  <si>
    <t>Bijkomende kostenpost 2 Installatie 3000 en boring 12000 opgenomen in investering</t>
  </si>
  <si>
    <t>Totale investeringen in duurzame energietechniek (25.000 sec + 2000 boiler + 12000 boring + 3000 installatie)</t>
  </si>
  <si>
    <t>Bijkomende kostenpost Installatie 3000 - in investering opgenomen</t>
  </si>
  <si>
    <t>Reductie CO2 emissie bij elektriciteit: Klimaatplein en Milieu Centraal gaan uit van reductie van circa 0,6 kg CO2 per vermeden KWh (nu geen monetarisatie)</t>
  </si>
  <si>
    <t>Luchtkwaliteit:</t>
  </si>
  <si>
    <t>Inschatting comfortparameters op basis van parameters: thermisch comfort / luchtkwaliteit / verlichting / akoestiek / ruimtelijke indeling / eventuele aanvulling</t>
  </si>
  <si>
    <t>Reductie CO2 emissie bij gas: Wise gaat uit van circa 1,9 kg CO2 per vermeden m3 gas (gemiddeld huishouden 2,2 personen: jaarlijks 4000 kg CO2 (Milieu Centraal)</t>
  </si>
  <si>
    <t xml:space="preserve"> </t>
  </si>
  <si>
    <t>Positief</t>
  </si>
  <si>
    <t>Hoger is beter; vanaf 3,5 kan een investering worden verwacht)</t>
  </si>
  <si>
    <t>Eindscore: tevredenheid  x percentage</t>
  </si>
  <si>
    <t>ROI berekening van vorig tabblad</t>
  </si>
  <si>
    <t>Score-opties: 1 = ontevreden; 3  =neutraal; 5= heel tevreden</t>
  </si>
  <si>
    <t xml:space="preserve"> Comfortscore-opties: negatief - licht negatief - neutraal - licht positief - positief</t>
  </si>
  <si>
    <t>Samen 100%</t>
  </si>
  <si>
    <t>Relatief belang ROI - vermeden uitstoot - comfortstijging</t>
  </si>
  <si>
    <t>ROI (gebaseerd op NCW berekening)</t>
  </si>
  <si>
    <t>CO2 vermijding door minder grijze stroom (kWh)</t>
  </si>
  <si>
    <t>CO2 vermijding door minder gas (m3 gas)</t>
  </si>
  <si>
    <t>CO2 vermijding totaal</t>
  </si>
  <si>
    <t>Comfort</t>
  </si>
  <si>
    <t>Categoerieen: ROI - vermeden uitstoot - comfortstijging</t>
  </si>
  <si>
    <t>Uitleg comfortparameters (bron zie literatuurstudie Breukel)</t>
  </si>
  <si>
    <t>Luchttemperatuur</t>
  </si>
  <si>
    <t>Stralingstemperatuur</t>
  </si>
  <si>
    <t>Luchtsnelheid (tocht)</t>
  </si>
  <si>
    <t>CO2 gehalte</t>
  </si>
  <si>
    <t>Stof</t>
  </si>
  <si>
    <t xml:space="preserve">               Energie-autonomie</t>
  </si>
  <si>
    <t>Experience:</t>
  </si>
  <si>
    <t xml:space="preserve">               Basiskwaliteit woning: stabiele structuur — goed aangebrachte elektriciteit – sluitende ramen/deuren</t>
  </si>
  <si>
    <t xml:space="preserve">               Temperatuur tapwater</t>
  </si>
  <si>
    <t xml:space="preserve">               Licht</t>
  </si>
  <si>
    <t xml:space="preserve">                Basiskwaliteit woning: stabiele structuur — goed aangebrachte elektriciteit – sluitende ramen/deuren</t>
  </si>
  <si>
    <t xml:space="preserve">                Temperatuur tapwater</t>
  </si>
  <si>
    <t xml:space="preserve">                Energie-autonomie</t>
  </si>
  <si>
    <t>Thermisch comfort: positief</t>
  </si>
  <si>
    <t>Licht positief</t>
  </si>
  <si>
    <t>Luchttemperatuur: via vloerverwarming gelijkmatig</t>
  </si>
  <si>
    <t>Thermisch comfort: licht positief</t>
  </si>
  <si>
    <t>neutraal</t>
  </si>
  <si>
    <t>Duur moet na 15 jaar stoppen, maar voor illustratieve berekeningen laten we het tot 40 jaar staan</t>
  </si>
  <si>
    <t>Luchttemperatuur: via vloerverwarming gelijkmatig, ook passief koelen mogelijk</t>
  </si>
  <si>
    <t>positief</t>
  </si>
  <si>
    <t xml:space="preserve">Reeds bekende subsidies (we hanteren hier een Nederlandse ISDE subsidie): https://www.terts.org/subsidies </t>
  </si>
  <si>
    <t xml:space="preserve">Reeds bekende subsidies: https://www.terts.org/subsidies </t>
  </si>
  <si>
    <t xml:space="preserve">Reeds bekende subsidies (Vlaanderen relighting kan een optie zijn): https://www.terts.org/subsidies </t>
  </si>
  <si>
    <t xml:space="preserve">Reeds bekende subsidies (NL: bv. ISDE): https://www.terts.org/subsidies </t>
  </si>
  <si>
    <t>Exploitatiebegroting van de investeringen in Ecologische Isolatie</t>
  </si>
  <si>
    <t>Restaurant 200m2, 40kW</t>
  </si>
  <si>
    <t>Exploitatiebegroting van de investeringen in Hybride Warmtepomp - LW</t>
  </si>
  <si>
    <t>Winkel zonder koeling, 100 m2; 2,5 kW</t>
  </si>
  <si>
    <t>Exploitatiebegroting van de investeringen in Warmtepomp WW-grondbron-Beoveld</t>
  </si>
  <si>
    <t>Restaurant, 200m2, 38kW</t>
  </si>
  <si>
    <t xml:space="preserve">Reductie CO2 emissie bij gas: Wise gaat uit van circa 1,9 kg CO2 per vermeden m3 gas </t>
  </si>
  <si>
    <t>Reductie CO2 emissie bij elektriciteit: Klimaatplein en Milieu Centraal gaan uit van reductie van circa 0,6 kg CO2 per vermeden KWh</t>
  </si>
  <si>
    <t>CO2 gemiddeld huishouden: jaarlijks 4000 kg CO2 (Milieu Centraal)</t>
  </si>
  <si>
    <t xml:space="preserve">CO2 vermijding door minder grijze stroom (kWh) </t>
  </si>
  <si>
    <t>Eindscore: tevredenheid  x percentage met een maxiumum van 5</t>
  </si>
  <si>
    <t>Hoger is beter: een 3 kan worden gezien als krappe voldoende (6 op een schaal van 0-10)</t>
  </si>
  <si>
    <t>Zelf-oordeel op comfortparameters op basis van thermisch comfort-luchtkwaliteit-verlichting-akoestiek-ruimtelijke indeling-eventuele aanvulling</t>
  </si>
  <si>
    <t>Relatief belang zelf-oordeel door ondernemer: ROI - vermeden uitstoot - comfortstijging (samen 100%)</t>
  </si>
  <si>
    <t>Mogelijke tevredenheids-scores (5 punts schaal)</t>
  </si>
  <si>
    <t>Bijkomende kostenpost 2</t>
  </si>
  <si>
    <t xml:space="preserve">Bijkomende kostenpost 4 </t>
  </si>
  <si>
    <t>Bijkomende kostenpost 3 (onderhoud)</t>
  </si>
  <si>
    <t>Afschrijving ( over x aar met 0 restwaarde eind levensduur)</t>
  </si>
  <si>
    <t>Reeds bekende subsidies (https://www.terts.org/subsidies )</t>
  </si>
  <si>
    <t>Exploitatiebegroting van de investeringen in combi PVT met WP en boiler</t>
  </si>
  <si>
    <t>Exploitatiebegroting van de investeringen in brandstofcel</t>
  </si>
  <si>
    <t>Categorieen: ROI - vermeden uitstoot - comfortstijging</t>
  </si>
  <si>
    <t>Eindscore: tevredenheid  x percentage met een maximum van 5</t>
  </si>
  <si>
    <t>Exploitatiebegroting van de investeringen in Warmtepomp - monovalent LW</t>
  </si>
  <si>
    <t>Totale investeringen in duurzame energietechniek  - met gascondensatieketel en buffervat tapwater</t>
  </si>
  <si>
    <t>(zonder TERTS niet positief , met TERTS TVT=11 jaar)</t>
  </si>
  <si>
    <t>Exploitatiebegroting van de investeringen in vacuumglas</t>
  </si>
  <si>
    <t>Exploitatiebegroting van batterij-investeringen in energietechnieken in dat pand in die sector</t>
  </si>
  <si>
    <t>Bijkomende kostenpost 3 onderhoud</t>
  </si>
  <si>
    <t>Bijkomende kostenpost 2 extra elektriciteit uit het net</t>
  </si>
  <si>
    <t>Bijkomende kostenpost 1 extra jaarlijkse kosten elektriciteitsaansluiting</t>
  </si>
  <si>
    <t xml:space="preserve">(zonder TERTS na 31 jaar positief, dus TVT = 31 jaar; met TERTS 7 jaar TVT) </t>
  </si>
  <si>
    <t>simple ROI:</t>
  </si>
  <si>
    <t xml:space="preserve">NCW-ROI: </t>
  </si>
  <si>
    <t xml:space="preserve">simple ROI: </t>
  </si>
  <si>
    <t>NCW-ROI:</t>
  </si>
  <si>
    <t>TVT zonder TERTS</t>
  </si>
  <si>
    <t>TVT met TERTS</t>
  </si>
  <si>
    <t>geen TVT</t>
  </si>
  <si>
    <t>Comfortscore-opties: negatief - licht negatief - neutraal - licht positief - positief.</t>
  </si>
  <si>
    <t>Uitleg comfortparameters</t>
  </si>
  <si>
    <t>50 m2 dakoppervlak, 30% warmteverlies via dak, isolatie cellulose 14 cm dik</t>
  </si>
  <si>
    <t>Raam: 2,8 keer 2 = 5,6 m2. Deur: 0,9 keer 3 =  1,8 m2. Totaal: 7,4 m2</t>
  </si>
  <si>
    <t>Exploitatiebegroting van de investeringen in Basis PV</t>
  </si>
  <si>
    <t>10 panelen 16,5 m2</t>
  </si>
  <si>
    <t>IRR met TERTS = 19%</t>
  </si>
  <si>
    <t xml:space="preserve">IRR zonder TERTS = 14 % </t>
  </si>
  <si>
    <t>Exploitatiebegroting van de investeringen in Design PV</t>
  </si>
  <si>
    <t xml:space="preserve">IRR met TERTS = 11 % </t>
  </si>
  <si>
    <t xml:space="preserve">(zonder TERTS na 16 jaar positief, dus TVT = 16 jaar; met TERTS na 8 jaar positief) </t>
  </si>
  <si>
    <t xml:space="preserve">Comfortscore-opties: negatief - licht negatief - neutraal - licht positief - positief. </t>
  </si>
  <si>
    <t xml:space="preserve">(in dit geval na 9 jaar positief, dus TVT = 9 jaar) </t>
  </si>
  <si>
    <t>(in dit geval na 14 jaar positief , dus TVT is 14 jaar)</t>
  </si>
  <si>
    <t>Exploitatiebegroting van LED-investeringen</t>
  </si>
  <si>
    <t>IRR met TERTS = 10%</t>
  </si>
  <si>
    <t>Belasting (winstbelasting, geen BTW): 25%</t>
  </si>
  <si>
    <t>Geen positieve business case</t>
  </si>
  <si>
    <t xml:space="preserve">(zonder TERTS: na 15 jaar positief, dus TVT = 15 jaar; met TERTS 7 jaar TVT) </t>
  </si>
  <si>
    <t>Capaciteit voor 1-2 woningen</t>
  </si>
  <si>
    <t>(zonder TERTS niet positief, dus na 20 jaar geen TVT; met TERTS 9 jaar TVT)</t>
  </si>
  <si>
    <t>Batterij van 12kWh inclusief een  omvormer van 12 kW</t>
  </si>
  <si>
    <t>IRR met TERTS  = 18 %</t>
  </si>
  <si>
    <t>IRR met TERTS = 9%</t>
  </si>
  <si>
    <t>IRR met TERTS = 9 %</t>
  </si>
  <si>
    <t>IRR met TERTS= 7,5 %</t>
  </si>
  <si>
    <t>IRR zonder TERTS = 12 %</t>
  </si>
  <si>
    <t>IRR met TERTS = niet aanwezig</t>
  </si>
  <si>
    <t>Tevredenheid over uitkomst: zelf-oordeel door ondernemer (schaal 1-5)</t>
  </si>
  <si>
    <t>Tevredenheid over uitkomst (schaal 1-5)</t>
  </si>
  <si>
    <t>met TERTS en aanvullende subsidie na 18 jaar TVT)</t>
  </si>
  <si>
    <t>IRR met TERTS  = 7,5%</t>
  </si>
  <si>
    <t>zonder TERTS</t>
  </si>
  <si>
    <t>23 jaar</t>
  </si>
  <si>
    <t>TERTS en Vlaamse subsidie:</t>
  </si>
  <si>
    <t>12 jaar</t>
  </si>
  <si>
    <t>18 jaar</t>
  </si>
  <si>
    <t xml:space="preserve">(met TERTS 11 jaar, zonder TERTS na 25 jaar positief, dus TVT = 25 jaar) </t>
  </si>
  <si>
    <t>(met TERTS 18 jaar, zonder TERTS niet positief, geen TVT)</t>
  </si>
  <si>
    <t>(in dit geval met TERTS na 10 jaar positief, dus TVT = 10 jaar)</t>
  </si>
  <si>
    <t>IRR met TERTS en bijkomende subsidie = 16,8%</t>
  </si>
  <si>
    <t>Exploitatiebegroting van de investeringen in zonneboiler</t>
  </si>
  <si>
    <t>IRR met TERTS en bijkomende subsidie = 13%</t>
  </si>
  <si>
    <t>Geen TVT</t>
  </si>
  <si>
    <t>Neutraal</t>
  </si>
  <si>
    <t xml:space="preserve">Thermisch comfort: </t>
  </si>
  <si>
    <t>IRR met TERTS en bijkomende subsidie = 6 %</t>
  </si>
  <si>
    <t>13 jaar</t>
  </si>
  <si>
    <t>10 TVT</t>
  </si>
  <si>
    <t>14 TVT</t>
  </si>
  <si>
    <t>Luchttemperatuur pos</t>
  </si>
  <si>
    <t>Tevredenheid over uitkomst: zelf-oordeel door ondernemer</t>
  </si>
  <si>
    <t xml:space="preserve"> Overwegingen tevredenheid door respondent laten omschrijven</t>
  </si>
  <si>
    <t>69 PVT panelen en WP voor LT verwarming ter vervanging van 10.000m3 gas</t>
  </si>
  <si>
    <t>Opbrengst (besparing levensduur; 4608 gas en -8686 elektra  uitgaan van kWh/gasprijs consument)</t>
  </si>
  <si>
    <t>Opbrengst (besparing levensduur max 25 jaar; uitgaan van kWh/gasprijs consument: Vlaamse bron)</t>
  </si>
  <si>
    <t>Opbrengst (besparing levensduur; uitgaan van kWh/gasprijs consument)</t>
  </si>
  <si>
    <t>Opbrengst (besparing levensduur; 806 gasbesparing en 2027 meer elektra; uitgaan van kWh/gasprijs consument)</t>
  </si>
  <si>
    <t>9 jaar</t>
  </si>
  <si>
    <t>14 jaar</t>
  </si>
  <si>
    <t>31 jaar</t>
  </si>
  <si>
    <t>7 jaar</t>
  </si>
  <si>
    <t>11 jaar</t>
  </si>
  <si>
    <t>5 jaar</t>
  </si>
  <si>
    <t>8 jaar</t>
  </si>
  <si>
    <t>16 jaar</t>
  </si>
  <si>
    <t>Combinatie van vloer en gevel isolatie</t>
  </si>
  <si>
    <t>6 jaar</t>
  </si>
  <si>
    <t>Jaar 2</t>
  </si>
  <si>
    <t>Jaar 3</t>
  </si>
  <si>
    <t>Jaar 4</t>
  </si>
  <si>
    <t>Jaar 5</t>
  </si>
  <si>
    <t>Jaar 6</t>
  </si>
  <si>
    <t>Jaar 7</t>
  </si>
  <si>
    <t>Jaar 8</t>
  </si>
  <si>
    <t>Jaar 9</t>
  </si>
  <si>
    <t>Jaar 10</t>
  </si>
  <si>
    <t>Jaar 11</t>
  </si>
  <si>
    <t>Jaar 12</t>
  </si>
  <si>
    <t>Jaar 13</t>
  </si>
  <si>
    <t>Jaar 14</t>
  </si>
  <si>
    <t>Jaar 15</t>
  </si>
  <si>
    <t>Jaar 16</t>
  </si>
  <si>
    <t>Jaar 17</t>
  </si>
  <si>
    <t>Jaar 18</t>
  </si>
  <si>
    <t>Jaar 19</t>
  </si>
  <si>
    <t>Jaar 20</t>
  </si>
  <si>
    <t>Jaar 21</t>
  </si>
  <si>
    <t>Jaar 22</t>
  </si>
  <si>
    <t>Jaar 23</t>
  </si>
  <si>
    <t>Jaar 24</t>
  </si>
  <si>
    <t>Jaar 25</t>
  </si>
  <si>
    <t>Jaar 26</t>
  </si>
  <si>
    <t>Jaar 27</t>
  </si>
  <si>
    <t>Jaar 28</t>
  </si>
  <si>
    <t>Jaar 29</t>
  </si>
  <si>
    <t>Jaar 30</t>
  </si>
  <si>
    <t>Jaar 31</t>
  </si>
  <si>
    <t>Jaar 32</t>
  </si>
  <si>
    <t>Jaar 33</t>
  </si>
  <si>
    <t>Jaar 34</t>
  </si>
  <si>
    <t>Jaar 35</t>
  </si>
  <si>
    <t>Jaar 36</t>
  </si>
  <si>
    <t>Jaar 37</t>
  </si>
  <si>
    <t>Jaar 38</t>
  </si>
  <si>
    <t>Jaar 39</t>
  </si>
  <si>
    <t>Jaar 40</t>
  </si>
  <si>
    <t>Jaar 41</t>
  </si>
  <si>
    <t>Jaar 42</t>
  </si>
  <si>
    <t>Jaar 43</t>
  </si>
  <si>
    <t>15 jaar</t>
  </si>
  <si>
    <t>27 jaar</t>
  </si>
  <si>
    <t>10 jaar</t>
  </si>
  <si>
    <t>25 jaar</t>
  </si>
  <si>
    <t xml:space="preserve">16 jaar </t>
  </si>
  <si>
    <t xml:space="preserve">2 jaar </t>
  </si>
  <si>
    <t>3 jaar</t>
  </si>
  <si>
    <t>IRR met TERTS  = 7%</t>
  </si>
  <si>
    <t xml:space="preserve">(zonder TERTS TVT  = 16 jaar, met TERTS na 16 jaar positief, dus TVT = 16 jaar) </t>
  </si>
  <si>
    <t>(zonder TERTS is TVT nooit positief , dus na 40 jaar geen TVT; met TERTS TVT = 3 jaar)</t>
  </si>
  <si>
    <t>Subsidiale investeringen (zonder PV)</t>
  </si>
  <si>
    <t xml:space="preserve">(in dit geval met TERTS na 8 jaar positief, dus TVT = 8 jaar) </t>
  </si>
  <si>
    <t>Bijkomende kostenpost 1 door gebruik (installatiekosten)</t>
  </si>
  <si>
    <t>Opbrengst (besparing op gas en elektra:  maatwerk)</t>
  </si>
  <si>
    <t>Opbrengst (besparing: 10 jaar lang 100 dagen per jaar met 12 kWh per dag + lagere aansluitwaarde)</t>
  </si>
  <si>
    <t>(na 6 jaar positief , dus TVT = 6 jaar)</t>
  </si>
  <si>
    <t>( na 8 jaar positief, dus TVT = 8 jaar)</t>
  </si>
  <si>
    <t>Business case met capaciteitstoeslag</t>
  </si>
  <si>
    <t>Prijs per Kwh (in €)</t>
  </si>
  <si>
    <t>Prijs per m3 (in €)</t>
  </si>
  <si>
    <t>Verwachte vermeden uitstoot CO2 (in kg)</t>
  </si>
  <si>
    <t>Opbouw weegmatrix TERTS (doel = eerste inschatting en vergelijkingsmogelijkheid tussen technieken voor klant)</t>
  </si>
  <si>
    <t>Opbrengst (besparing x jaar levensduur; circa 1 m3 gasbesparing; 1 kWh meer stroom)</t>
  </si>
  <si>
    <r>
      <t>Luchtvochtigheid</t>
    </r>
    <r>
      <rPr>
        <b/>
        <sz val="11"/>
        <color rgb="FF000000"/>
        <rFont val="Calibri"/>
        <family val="2"/>
        <scheme val="minor"/>
      </rPr>
      <t> </t>
    </r>
  </si>
  <si>
    <t xml:space="preserve">               Akoestiek</t>
  </si>
  <si>
    <t xml:space="preserve">               Vormgeving en ruimtelijke indeling</t>
  </si>
  <si>
    <r>
      <t>Thermisch comfort</t>
    </r>
    <r>
      <rPr>
        <sz val="11"/>
        <rFont val="Calibri"/>
        <family val="2"/>
        <scheme val="minor"/>
      </rPr>
      <t>:</t>
    </r>
  </si>
  <si>
    <r>
      <t xml:space="preserve">            </t>
    </r>
    <r>
      <rPr>
        <sz val="11"/>
        <color rgb="FFFF0000"/>
        <rFont val="Calibri"/>
        <family val="2"/>
        <scheme val="minor"/>
      </rPr>
      <t xml:space="preserve">   Energie-autonomie: licht positief</t>
    </r>
  </si>
  <si>
    <r>
      <t xml:space="preserve">     </t>
    </r>
    <r>
      <rPr>
        <sz val="11"/>
        <color rgb="FFFF0000"/>
        <rFont val="Calibri"/>
        <family val="2"/>
        <scheme val="minor"/>
      </rPr>
      <t xml:space="preserve">          Energie-autonomie: licht positief</t>
    </r>
  </si>
  <si>
    <t xml:space="preserve">               Vormgeving en ruimtelijke indeling: positief</t>
  </si>
  <si>
    <r>
      <t xml:space="preserve">Techniek: </t>
    </r>
    <r>
      <rPr>
        <u/>
        <sz val="11"/>
        <rFont val="Calibri"/>
        <family val="2"/>
        <scheme val="minor"/>
      </rPr>
      <t>PV design</t>
    </r>
  </si>
  <si>
    <r>
      <t xml:space="preserve">Techniek: </t>
    </r>
    <r>
      <rPr>
        <u/>
        <sz val="11"/>
        <rFont val="Calibri"/>
        <family val="2"/>
        <scheme val="minor"/>
      </rPr>
      <t>PV basis</t>
    </r>
  </si>
  <si>
    <r>
      <t xml:space="preserve">Techniek: </t>
    </r>
    <r>
      <rPr>
        <u/>
        <sz val="11"/>
        <rFont val="Calibri"/>
        <family val="2"/>
        <scheme val="minor"/>
      </rPr>
      <t>Vacuüm beglazing</t>
    </r>
  </si>
  <si>
    <r>
      <t xml:space="preserve">Techniek: </t>
    </r>
    <r>
      <rPr>
        <u/>
        <sz val="11"/>
        <rFont val="Calibri"/>
        <family val="2"/>
        <scheme val="minor"/>
      </rPr>
      <t>Ecologische isolatie</t>
    </r>
  </si>
  <si>
    <t>Zonneboiler Vaillant auroTherm classic VF + opslagvat 300 l</t>
  </si>
  <si>
    <r>
      <t xml:space="preserve">       </t>
    </r>
    <r>
      <rPr>
        <sz val="11"/>
        <color rgb="FFFF0000"/>
        <rFont val="Calibri"/>
        <family val="2"/>
        <scheme val="minor"/>
      </rPr>
      <t xml:space="preserve">        Energie-autonomie</t>
    </r>
  </si>
  <si>
    <r>
      <t xml:space="preserve">            </t>
    </r>
    <r>
      <rPr>
        <sz val="11"/>
        <color rgb="FFFF0000"/>
        <rFont val="Calibri"/>
        <family val="2"/>
        <scheme val="minor"/>
      </rPr>
      <t xml:space="preserve">   Energie-autonomie: licht positief + mogelijkheid van gas af</t>
    </r>
  </si>
  <si>
    <t xml:space="preserve">               Akoestiek: extra geluid licht negatief</t>
  </si>
  <si>
    <r>
      <t xml:space="preserve">Techniek: </t>
    </r>
    <r>
      <rPr>
        <u/>
        <sz val="11"/>
        <rFont val="Calibri"/>
        <family val="2"/>
        <scheme val="minor"/>
      </rPr>
      <t>Zonneboiler</t>
    </r>
  </si>
  <si>
    <t xml:space="preserve">Besparing in kWh </t>
  </si>
  <si>
    <t>Besparing in m³</t>
  </si>
  <si>
    <r>
      <t xml:space="preserve">           </t>
    </r>
    <r>
      <rPr>
        <sz val="11"/>
        <rFont val="Calibri"/>
        <family val="2"/>
        <scheme val="minor"/>
      </rPr>
      <t xml:space="preserve">    Energie-autonomie:</t>
    </r>
  </si>
  <si>
    <t xml:space="preserve">               Akoestiek: nauwelijks extra geluid </t>
  </si>
  <si>
    <r>
      <t xml:space="preserve">               </t>
    </r>
    <r>
      <rPr>
        <sz val="11"/>
        <color rgb="FFFF0000"/>
        <rFont val="Calibri"/>
        <family val="2"/>
        <scheme val="minor"/>
      </rPr>
      <t>Energie-autonomie pos</t>
    </r>
  </si>
  <si>
    <t xml:space="preserve">               Akoestiek: geuid neg</t>
  </si>
  <si>
    <t>Opbrengst (besparing 20 jaar; uitgaan van kWh/gasprijs consument)</t>
  </si>
  <si>
    <r>
      <t xml:space="preserve">               </t>
    </r>
    <r>
      <rPr>
        <sz val="11"/>
        <color rgb="FFFF0000"/>
        <rFont val="Calibri"/>
        <family val="2"/>
        <scheme val="minor"/>
      </rPr>
      <t xml:space="preserve"> Licht</t>
    </r>
    <r>
      <rPr>
        <sz val="11"/>
        <color theme="1"/>
        <rFont val="Calibri"/>
        <family val="2"/>
        <scheme val="minor"/>
      </rPr>
      <t xml:space="preserve">: </t>
    </r>
    <r>
      <rPr>
        <sz val="11"/>
        <color rgb="FFFF0000"/>
        <rFont val="Calibri"/>
        <family val="2"/>
        <scheme val="minor"/>
      </rPr>
      <t>positief</t>
    </r>
  </si>
  <si>
    <t xml:space="preserve">                Akoestiek</t>
  </si>
  <si>
    <t xml:space="preserve">                Vormgeving en ruimtelijke indeling</t>
  </si>
  <si>
    <t>Hoger is beter (vanaf 3,5 kan een investering worden verwacht)</t>
  </si>
  <si>
    <r>
      <t>Luchtvochtigheid</t>
    </r>
    <r>
      <rPr>
        <b/>
        <sz val="11"/>
        <rFont val="Calibri"/>
        <family val="2"/>
        <scheme val="minor"/>
      </rPr>
      <t> </t>
    </r>
  </si>
  <si>
    <r>
      <t xml:space="preserve">           </t>
    </r>
    <r>
      <rPr>
        <sz val="11"/>
        <color rgb="FFFF0000"/>
        <rFont val="Calibri"/>
        <family val="2"/>
        <scheme val="minor"/>
      </rPr>
      <t xml:space="preserve">    Energie-autonomie:</t>
    </r>
  </si>
  <si>
    <r>
      <t xml:space="preserve">               Basiskwaliteit woning: stabiele structuur — goed aangebrachte elektriciteit – sluitende ramen/deuren: </t>
    </r>
    <r>
      <rPr>
        <sz val="11"/>
        <color rgb="FFFF0000"/>
        <rFont val="Calibri"/>
        <family val="2"/>
        <scheme val="minor"/>
      </rPr>
      <t>stabiele grond temperatuur</t>
    </r>
  </si>
  <si>
    <r>
      <t xml:space="preserve">           </t>
    </r>
    <r>
      <rPr>
        <sz val="11"/>
        <rFont val="Calibri"/>
        <family val="2"/>
        <scheme val="minor"/>
      </rPr>
      <t xml:space="preserve">    </t>
    </r>
    <r>
      <rPr>
        <sz val="11"/>
        <color rgb="FFFF0000"/>
        <rFont val="Calibri"/>
        <family val="2"/>
        <scheme val="minor"/>
      </rPr>
      <t>Energie-autonomie: postief + mogelijkheid van gas af</t>
    </r>
  </si>
  <si>
    <t>Opbrengst (besparing 15 jaar levensduur; 4608 m3 gasbesparing; 11295 kWh meer stroom, uitgaand van NL kWh/gasprijs consument)</t>
  </si>
  <si>
    <t>Opbrengst (besparing 15 jaar levensduur; circa 1000 m3 gasbesparing; 2300 kWh meer stroom, uitgaand van NL kWh/gasprijs consument)</t>
  </si>
  <si>
    <r>
      <t xml:space="preserve">Techniek: </t>
    </r>
    <r>
      <rPr>
        <u/>
        <sz val="11"/>
        <rFont val="Calibri"/>
        <family val="2"/>
        <scheme val="minor"/>
      </rPr>
      <t>WP LW</t>
    </r>
  </si>
  <si>
    <r>
      <t xml:space="preserve">Techniek: </t>
    </r>
    <r>
      <rPr>
        <u/>
        <sz val="11"/>
        <rFont val="Calibri"/>
        <family val="2"/>
        <scheme val="minor"/>
      </rPr>
      <t>WP LW-grotere zaak</t>
    </r>
  </si>
  <si>
    <r>
      <t xml:space="preserve">Techniek: </t>
    </r>
    <r>
      <rPr>
        <u/>
        <sz val="11"/>
        <rFont val="Calibri"/>
        <family val="2"/>
        <scheme val="minor"/>
      </rPr>
      <t>WP LW-hybride</t>
    </r>
  </si>
  <si>
    <r>
      <t xml:space="preserve">Techniek: </t>
    </r>
    <r>
      <rPr>
        <u/>
        <sz val="11"/>
        <rFont val="Calibri"/>
        <family val="2"/>
        <scheme val="minor"/>
      </rPr>
      <t>Combi PVT met WP en boiler</t>
    </r>
  </si>
  <si>
    <r>
      <t>Techniek: W</t>
    </r>
    <r>
      <rPr>
        <u/>
        <sz val="11"/>
        <rFont val="Calibri"/>
        <family val="2"/>
        <scheme val="minor"/>
      </rPr>
      <t>armtepompboiler</t>
    </r>
  </si>
  <si>
    <r>
      <t xml:space="preserve">Techniek: </t>
    </r>
    <r>
      <rPr>
        <u/>
        <sz val="11"/>
        <rFont val="Calibri"/>
        <family val="2"/>
        <scheme val="minor"/>
      </rPr>
      <t>LED</t>
    </r>
  </si>
  <si>
    <r>
      <t>Techniek: B</t>
    </r>
    <r>
      <rPr>
        <u/>
        <sz val="11"/>
        <rFont val="Calibri"/>
        <family val="2"/>
        <scheme val="minor"/>
      </rPr>
      <t>atterij</t>
    </r>
  </si>
  <si>
    <r>
      <t xml:space="preserve">Techniek: </t>
    </r>
    <r>
      <rPr>
        <u/>
        <sz val="11"/>
        <rFont val="Calibri"/>
        <family val="2"/>
        <scheme val="minor"/>
      </rPr>
      <t>Brandstofcel</t>
    </r>
  </si>
  <si>
    <r>
      <t xml:space="preserve">Techniek: </t>
    </r>
    <r>
      <rPr>
        <u/>
        <sz val="11"/>
        <rFont val="Calibri"/>
        <family val="2"/>
        <scheme val="minor"/>
      </rPr>
      <t>Beoveld met WP-WW</t>
    </r>
  </si>
  <si>
    <t xml:space="preserve">(met TERTS en extra subsidie: na 12 jaar positief, dus TVT = 12 jaar) </t>
  </si>
  <si>
    <t xml:space="preserve">(zonder TERTS na 27 jaar positief, dus TVT = 27 jaar; met TERTS subsidie 11 jaar, dus TVT = 11 jaar) </t>
  </si>
  <si>
    <t>(zonder TERTS niet  positief , dus na 40 jaar geen TVT; met TERTS subsidie TVT =  18 jaar)</t>
  </si>
  <si>
    <t>Exploitatiebegroting van de investeringen in warmtepompboiler en PV</t>
  </si>
  <si>
    <t>Circa 30 lampen, 2 dagen installatie, bakkerij</t>
  </si>
  <si>
    <t>MET CAPACITEITSTOESLAG IN TRAITEUR</t>
  </si>
  <si>
    <t>Reeds bekende subsidies (https://www.terts.org/subsidies ): VEA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</si>
</sst>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222222"/>
      <name val="Arial"/>
      <family val="2"/>
    </font>
    <font>
      <sz val="11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/>
      </patternFill>
    </fill>
    <fill>
      <patternFill patternType="solid">
        <fgColor rgb="FFFFDD7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44" fontId="2" fillId="0" borderId="0" xfId="2" applyFont="1"/>
    <xf numFmtId="44" fontId="0" fillId="0" borderId="0" xfId="2" applyFont="1"/>
    <xf numFmtId="0" fontId="0" fillId="0" borderId="1" xfId="0" applyBorder="1"/>
    <xf numFmtId="44" fontId="0" fillId="0" borderId="1" xfId="2" applyFont="1" applyBorder="1"/>
    <xf numFmtId="10" fontId="2" fillId="0" borderId="1" xfId="1" applyNumberFormat="1" applyFont="1" applyBorder="1"/>
    <xf numFmtId="44" fontId="0" fillId="0" borderId="0" xfId="0" applyNumberFormat="1"/>
    <xf numFmtId="0" fontId="3" fillId="0" borderId="0" xfId="0" applyFont="1"/>
    <xf numFmtId="44" fontId="1" fillId="0" borderId="0" xfId="2" applyFont="1"/>
    <xf numFmtId="10" fontId="0" fillId="0" borderId="0" xfId="0" applyNumberFormat="1"/>
    <xf numFmtId="0" fontId="5" fillId="0" borderId="0" xfId="0" applyFont="1"/>
    <xf numFmtId="10" fontId="1" fillId="0" borderId="1" xfId="1" applyNumberFormat="1" applyFont="1" applyBorder="1"/>
    <xf numFmtId="0" fontId="0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 indent="10"/>
    </xf>
    <xf numFmtId="0" fontId="2" fillId="0" borderId="1" xfId="0" applyFont="1" applyBorder="1"/>
    <xf numFmtId="0" fontId="0" fillId="0" borderId="0" xfId="0" applyBorder="1"/>
    <xf numFmtId="10" fontId="1" fillId="0" borderId="0" xfId="1" applyNumberFormat="1" applyFont="1" applyBorder="1"/>
    <xf numFmtId="44" fontId="1" fillId="2" borderId="0" xfId="2" applyFont="1" applyFill="1"/>
    <xf numFmtId="44" fontId="0" fillId="2" borderId="0" xfId="2" applyFont="1" applyFill="1"/>
    <xf numFmtId="44" fontId="2" fillId="2" borderId="0" xfId="2" applyFont="1" applyFill="1"/>
    <xf numFmtId="0" fontId="0" fillId="2" borderId="0" xfId="0" applyFill="1"/>
    <xf numFmtId="0" fontId="7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wrapText="1"/>
    </xf>
    <xf numFmtId="44" fontId="0" fillId="2" borderId="2" xfId="2" applyNumberFormat="1" applyFont="1" applyFill="1" applyBorder="1"/>
    <xf numFmtId="0" fontId="2" fillId="2" borderId="0" xfId="0" applyFont="1" applyFill="1"/>
    <xf numFmtId="0" fontId="0" fillId="0" borderId="1" xfId="0" applyFont="1" applyBorder="1"/>
    <xf numFmtId="44" fontId="0" fillId="0" borderId="0" xfId="0" applyNumberFormat="1" applyAlignment="1">
      <alignment horizontal="center"/>
    </xf>
    <xf numFmtId="0" fontId="0" fillId="3" borderId="0" xfId="0" applyFont="1" applyFill="1"/>
    <xf numFmtId="0" fontId="4" fillId="0" borderId="0" xfId="0" applyFont="1" applyAlignment="1">
      <alignment vertical="center"/>
    </xf>
    <xf numFmtId="0" fontId="10" fillId="0" borderId="0" xfId="0" applyFont="1"/>
    <xf numFmtId="0" fontId="0" fillId="0" borderId="0" xfId="0" applyNumberFormat="1"/>
    <xf numFmtId="44" fontId="0" fillId="0" borderId="0" xfId="2" applyNumberFormat="1" applyFont="1"/>
    <xf numFmtId="0" fontId="11" fillId="0" borderId="0" xfId="0" applyFont="1" applyAlignment="1">
      <alignment vertical="center"/>
    </xf>
    <xf numFmtId="0" fontId="0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0" fillId="0" borderId="0" xfId="0" applyFill="1"/>
    <xf numFmtId="0" fontId="7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vertical="center"/>
    </xf>
    <xf numFmtId="44" fontId="0" fillId="2" borderId="2" xfId="2" applyFont="1" applyFill="1" applyBorder="1"/>
    <xf numFmtId="44" fontId="2" fillId="0" borderId="0" xfId="2" applyFont="1" applyAlignment="1"/>
    <xf numFmtId="44" fontId="0" fillId="0" borderId="0" xfId="2" applyFont="1" applyAlignment="1"/>
    <xf numFmtId="44" fontId="1" fillId="0" borderId="0" xfId="2" applyFont="1" applyAlignment="1"/>
    <xf numFmtId="44" fontId="14" fillId="0" borderId="0" xfId="2" applyFont="1"/>
    <xf numFmtId="44" fontId="14" fillId="0" borderId="0" xfId="2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/>
    <xf numFmtId="0" fontId="3" fillId="0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3" borderId="0" xfId="0" applyFont="1" applyFill="1" applyAlignment="1">
      <alignment horizontal="center"/>
    </xf>
    <xf numFmtId="0" fontId="2" fillId="3" borderId="0" xfId="0" applyFont="1" applyFill="1"/>
    <xf numFmtId="0" fontId="0" fillId="0" borderId="0" xfId="0" applyFont="1" applyAlignment="1">
      <alignment horizontal="center"/>
    </xf>
    <xf numFmtId="44" fontId="2" fillId="3" borderId="0" xfId="2" applyNumberFormat="1" applyFont="1" applyFill="1"/>
    <xf numFmtId="44" fontId="0" fillId="3" borderId="0" xfId="2" applyNumberFormat="1" applyFont="1" applyFill="1"/>
    <xf numFmtId="44" fontId="2" fillId="0" borderId="0" xfId="2" applyNumberFormat="1" applyFont="1"/>
    <xf numFmtId="0" fontId="0" fillId="0" borderId="1" xfId="0" applyBorder="1" applyAlignment="1"/>
    <xf numFmtId="0" fontId="0" fillId="0" borderId="0" xfId="0" applyFont="1" applyAlignment="1"/>
    <xf numFmtId="0" fontId="0" fillId="0" borderId="9" xfId="0" applyBorder="1"/>
    <xf numFmtId="44" fontId="0" fillId="0" borderId="9" xfId="2" applyFont="1" applyBorder="1"/>
    <xf numFmtId="0" fontId="0" fillId="0" borderId="10" xfId="0" applyBorder="1"/>
    <xf numFmtId="0" fontId="2" fillId="3" borderId="2" xfId="0" applyFont="1" applyFill="1" applyBorder="1"/>
    <xf numFmtId="44" fontId="2" fillId="3" borderId="2" xfId="2" applyNumberFormat="1" applyFont="1" applyFill="1" applyBorder="1"/>
    <xf numFmtId="0" fontId="3" fillId="6" borderId="0" xfId="0" applyFont="1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NumberFormat="1" applyFont="1"/>
    <xf numFmtId="0" fontId="3" fillId="5" borderId="11" xfId="3" applyFont="1" applyFill="1" applyBorder="1" applyAlignment="1">
      <alignment horizontal="center"/>
    </xf>
    <xf numFmtId="0" fontId="1" fillId="0" borderId="0" xfId="2" applyNumberFormat="1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4" fontId="2" fillId="0" borderId="0" xfId="2" applyFont="1" applyAlignment="1">
      <alignment horizontal="center"/>
    </xf>
    <xf numFmtId="0" fontId="3" fillId="5" borderId="11" xfId="3" applyFont="1" applyFill="1" applyBorder="1" applyAlignment="1">
      <alignment horizontal="center"/>
    </xf>
    <xf numFmtId="0" fontId="3" fillId="5" borderId="13" xfId="3" applyFont="1" applyFill="1" applyBorder="1" applyAlignment="1">
      <alignment horizontal="center"/>
    </xf>
    <xf numFmtId="0" fontId="3" fillId="5" borderId="14" xfId="3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5" borderId="12" xfId="3" applyFont="1" applyFill="1" applyBorder="1" applyAlignment="1"/>
    <xf numFmtId="0" fontId="0" fillId="6" borderId="0" xfId="0" applyFill="1" applyAlignment="1">
      <alignment horizontal="right"/>
    </xf>
    <xf numFmtId="44" fontId="1" fillId="2" borderId="0" xfId="2" applyFont="1" applyFill="1" applyAlignment="1">
      <alignment horizontal="right"/>
    </xf>
    <xf numFmtId="44" fontId="0" fillId="2" borderId="2" xfId="2" applyNumberFormat="1" applyFont="1" applyFill="1" applyBorder="1" applyAlignment="1">
      <alignment horizontal="right"/>
    </xf>
    <xf numFmtId="2" fontId="14" fillId="0" borderId="0" xfId="0" applyNumberFormat="1" applyFont="1" applyAlignment="1">
      <alignment horizontal="left"/>
    </xf>
    <xf numFmtId="44" fontId="0" fillId="0" borderId="0" xfId="2" applyFont="1" applyAlignment="1">
      <alignment horizontal="left"/>
    </xf>
    <xf numFmtId="0" fontId="0" fillId="0" borderId="4" xfId="0" applyBorder="1" applyAlignment="1">
      <alignment horizontal="left"/>
    </xf>
    <xf numFmtId="0" fontId="3" fillId="5" borderId="14" xfId="3" applyFont="1" applyFill="1" applyBorder="1" applyAlignment="1">
      <alignment horizontal="left"/>
    </xf>
    <xf numFmtId="0" fontId="0" fillId="0" borderId="6" xfId="0" applyBorder="1" applyAlignment="1">
      <alignment horizontal="left"/>
    </xf>
    <xf numFmtId="10" fontId="0" fillId="0" borderId="0" xfId="0" applyNumberFormat="1" applyAlignment="1">
      <alignment horizontal="left"/>
    </xf>
    <xf numFmtId="0" fontId="9" fillId="0" borderId="0" xfId="0" applyFont="1" applyAlignment="1">
      <alignment horizontal="left" vertical="center"/>
    </xf>
    <xf numFmtId="9" fontId="0" fillId="0" borderId="0" xfId="0" applyNumberFormat="1" applyAlignment="1">
      <alignment horizontal="left"/>
    </xf>
    <xf numFmtId="0" fontId="3" fillId="7" borderId="0" xfId="0" applyFont="1" applyFill="1"/>
    <xf numFmtId="0" fontId="0" fillId="7" borderId="0" xfId="0" applyFill="1" applyAlignment="1">
      <alignment horizontal="left"/>
    </xf>
    <xf numFmtId="0" fontId="3" fillId="7" borderId="13" xfId="3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3" fillId="5" borderId="11" xfId="3" applyFont="1" applyFill="1" applyBorder="1" applyAlignment="1"/>
    <xf numFmtId="0" fontId="3" fillId="5" borderId="13" xfId="3" applyFont="1" applyFill="1" applyBorder="1" applyAlignment="1"/>
    <xf numFmtId="0" fontId="3" fillId="5" borderId="14" xfId="3" applyFont="1" applyFill="1" applyBorder="1" applyAlignment="1"/>
    <xf numFmtId="0" fontId="14" fillId="0" borderId="0" xfId="0" applyFont="1"/>
    <xf numFmtId="0" fontId="3" fillId="5" borderId="0" xfId="0" applyFont="1" applyFill="1"/>
    <xf numFmtId="0" fontId="0" fillId="5" borderId="0" xfId="0" applyFill="1"/>
    <xf numFmtId="0" fontId="3" fillId="6" borderId="0" xfId="0" applyFont="1" applyFill="1" applyAlignment="1">
      <alignment horizontal="left"/>
    </xf>
    <xf numFmtId="0" fontId="0" fillId="0" borderId="0" xfId="0" applyAlignment="1">
      <alignment horizontal="right"/>
    </xf>
    <xf numFmtId="44" fontId="1" fillId="2" borderId="0" xfId="2" applyFont="1" applyFill="1" applyAlignment="1">
      <alignment horizontal="left"/>
    </xf>
    <xf numFmtId="0" fontId="0" fillId="5" borderId="0" xfId="0" applyFill="1" applyAlignment="1">
      <alignment horizontal="left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 indent="5"/>
    </xf>
    <xf numFmtId="0" fontId="0" fillId="0" borderId="0" xfId="0" applyFont="1" applyAlignment="1">
      <alignment horizontal="left" vertical="center"/>
    </xf>
    <xf numFmtId="0" fontId="12" fillId="6" borderId="8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44" fontId="0" fillId="2" borderId="2" xfId="2" applyFont="1" applyFill="1" applyBorder="1" applyAlignment="1">
      <alignment horizontal="right"/>
    </xf>
    <xf numFmtId="44" fontId="2" fillId="2" borderId="0" xfId="2" applyFont="1" applyFill="1" applyAlignment="1">
      <alignment horizontal="right"/>
    </xf>
    <xf numFmtId="44" fontId="0" fillId="2" borderId="0" xfId="2" applyFont="1" applyFill="1" applyAlignment="1">
      <alignment horizontal="left"/>
    </xf>
    <xf numFmtId="44" fontId="0" fillId="2" borderId="2" xfId="2" applyFont="1" applyFill="1" applyBorder="1" applyAlignment="1">
      <alignment horizontal="left"/>
    </xf>
    <xf numFmtId="0" fontId="3" fillId="0" borderId="0" xfId="0" applyFont="1" applyAlignment="1">
      <alignment vertical="center"/>
    </xf>
    <xf numFmtId="44" fontId="2" fillId="2" borderId="0" xfId="2" applyFont="1" applyFill="1" applyAlignment="1">
      <alignment horizontal="left"/>
    </xf>
    <xf numFmtId="44" fontId="0" fillId="2" borderId="2" xfId="2" applyNumberFormat="1" applyFont="1" applyFill="1" applyBorder="1" applyAlignment="1">
      <alignment horizontal="left"/>
    </xf>
    <xf numFmtId="44" fontId="0" fillId="2" borderId="0" xfId="2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2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4" fontId="0" fillId="0" borderId="0" xfId="2" applyFont="1" applyAlignment="1">
      <alignment wrapText="1"/>
    </xf>
    <xf numFmtId="0" fontId="2" fillId="0" borderId="0" xfId="0" applyNumberFormat="1" applyFont="1"/>
    <xf numFmtId="44" fontId="0" fillId="2" borderId="15" xfId="2" applyFont="1" applyFill="1" applyBorder="1"/>
    <xf numFmtId="0" fontId="2" fillId="0" borderId="16" xfId="0" applyFont="1" applyBorder="1"/>
    <xf numFmtId="10" fontId="2" fillId="0" borderId="16" xfId="1" applyNumberFormat="1" applyFont="1" applyBorder="1"/>
    <xf numFmtId="0" fontId="2" fillId="2" borderId="0" xfId="0" applyFont="1" applyFill="1" applyAlignment="1"/>
    <xf numFmtId="44" fontId="0" fillId="2" borderId="15" xfId="2" applyFont="1" applyFill="1" applyBorder="1" applyAlignment="1">
      <alignment horizontal="left"/>
    </xf>
    <xf numFmtId="0" fontId="3" fillId="0" borderId="0" xfId="0" applyFont="1" applyAlignment="1">
      <alignment horizontal="left" vertical="center" indent="5"/>
    </xf>
    <xf numFmtId="0" fontId="0" fillId="0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2" fillId="8" borderId="0" xfId="0" applyFont="1" applyFill="1"/>
    <xf numFmtId="0" fontId="12" fillId="2" borderId="0" xfId="0" applyFont="1" applyFill="1" applyAlignment="1"/>
    <xf numFmtId="44" fontId="2" fillId="0" borderId="7" xfId="2" applyFont="1" applyBorder="1" applyAlignment="1">
      <alignment horizontal="center"/>
    </xf>
    <xf numFmtId="44" fontId="2" fillId="0" borderId="0" xfId="2" applyFont="1" applyBorder="1" applyAlignment="1">
      <alignment horizontal="center"/>
    </xf>
  </cellXfs>
  <cellStyles count="4">
    <cellStyle name="Accent3" xfId="3" builtinId="37"/>
    <cellStyle name="Procent" xfId="1" builtinId="5"/>
    <cellStyle name="Standaard" xfId="0" builtinId="0"/>
    <cellStyle name="Valuta" xfId="2" builtinId="4"/>
  </cellStyles>
  <dxfs count="48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ill>
        <patternFill patternType="solid">
          <fgColor indexed="64"/>
          <bgColor theme="9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5999938962981048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theme="9" tint="0.59999389629810485"/>
        </patternFill>
      </fill>
    </dxf>
  </dxfs>
  <tableStyles count="0" defaultTableStyle="TableStyleMedium2" defaultPivotStyle="PivotStyleLight16"/>
  <colors>
    <mruColors>
      <color rgb="FFFFD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136" displayName="Tabel136" ref="B1:AC27" totalsRowShown="0" headerRowDxfId="481" dataDxfId="480">
  <autoFilter ref="B1:AC2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00000000-0010-0000-0000-000001000000}" name="Exploitatiebegroting van de investeringen in Ecologische Isolatie" dataDxfId="479"/>
    <tableColumn id="2" xr3:uid="{00000000-0010-0000-0000-000002000000}" name="Jaar 1" dataDxfId="478" dataCellStyle="Valuta"/>
    <tableColumn id="3" xr3:uid="{00000000-0010-0000-0000-000003000000}" name="Jaar 2" dataDxfId="477" dataCellStyle="Valuta"/>
    <tableColumn id="4" xr3:uid="{00000000-0010-0000-0000-000004000000}" name="Jaar 3" dataDxfId="476" dataCellStyle="Valuta"/>
    <tableColumn id="5" xr3:uid="{00000000-0010-0000-0000-000005000000}" name="Jaar 4" dataDxfId="475" dataCellStyle="Valuta"/>
    <tableColumn id="6" xr3:uid="{00000000-0010-0000-0000-000006000000}" name="Jaar 5" dataDxfId="474" dataCellStyle="Valuta"/>
    <tableColumn id="7" xr3:uid="{00000000-0010-0000-0000-000007000000}" name="Jaar 6" dataDxfId="473" dataCellStyle="Valuta"/>
    <tableColumn id="9" xr3:uid="{00000000-0010-0000-0000-000009000000}" name="Jaar 7" dataDxfId="472" dataCellStyle="Valuta"/>
    <tableColumn id="10" xr3:uid="{00000000-0010-0000-0000-00000A000000}" name="Jaar 8" dataDxfId="471" dataCellStyle="Valuta"/>
    <tableColumn id="11" xr3:uid="{00000000-0010-0000-0000-00000B000000}" name="Jaar 9" dataDxfId="470" dataCellStyle="Valuta"/>
    <tableColumn id="12" xr3:uid="{00000000-0010-0000-0000-00000C000000}" name="Jaar 10" dataDxfId="469" dataCellStyle="Valuta"/>
    <tableColumn id="13" xr3:uid="{00000000-0010-0000-0000-00000D000000}" name="Jaar 11" dataDxfId="468" dataCellStyle="Valuta"/>
    <tableColumn id="14" xr3:uid="{00000000-0010-0000-0000-00000E000000}" name="Jaar 12" dataDxfId="467" dataCellStyle="Valuta"/>
    <tableColumn id="15" xr3:uid="{00000000-0010-0000-0000-00000F000000}" name="Jaar 13" dataDxfId="466" dataCellStyle="Valuta"/>
    <tableColumn id="16" xr3:uid="{00000000-0010-0000-0000-000010000000}" name="Jaar 14" dataDxfId="465" dataCellStyle="Valuta"/>
    <tableColumn id="17" xr3:uid="{00000000-0010-0000-0000-000011000000}" name="Jaar 15" dataDxfId="464" dataCellStyle="Valuta"/>
    <tableColumn id="18" xr3:uid="{00000000-0010-0000-0000-000012000000}" name="Jaar 16" dataDxfId="463" dataCellStyle="Valuta"/>
    <tableColumn id="19" xr3:uid="{00000000-0010-0000-0000-000013000000}" name="Jaar 17" dataDxfId="462" dataCellStyle="Valuta"/>
    <tableColumn id="20" xr3:uid="{00000000-0010-0000-0000-000014000000}" name="Jaar 18" dataDxfId="461" dataCellStyle="Valuta"/>
    <tableColumn id="21" xr3:uid="{00000000-0010-0000-0000-000015000000}" name="Jaar 19" dataDxfId="460" dataCellStyle="Valuta"/>
    <tableColumn id="22" xr3:uid="{00000000-0010-0000-0000-000016000000}" name="Jaar 20" dataDxfId="459" dataCellStyle="Valuta"/>
    <tableColumn id="23" xr3:uid="{00000000-0010-0000-0000-000017000000}" name="Jaar 21" dataDxfId="458" dataCellStyle="Valuta"/>
    <tableColumn id="24" xr3:uid="{00000000-0010-0000-0000-000018000000}" name="Jaar 22" dataDxfId="457" dataCellStyle="Valuta"/>
    <tableColumn id="25" xr3:uid="{00000000-0010-0000-0000-000019000000}" name="Jaar 23" dataDxfId="456" dataCellStyle="Valuta"/>
    <tableColumn id="26" xr3:uid="{00000000-0010-0000-0000-00001A000000}" name="Jaar 24" dataDxfId="455" dataCellStyle="Valuta"/>
    <tableColumn id="27" xr3:uid="{00000000-0010-0000-0000-00001B000000}" name="Jaar 25" dataDxfId="454" dataCellStyle="Valuta"/>
    <tableColumn id="8" xr3:uid="{00000000-0010-0000-0000-000008000000}" name="Jaar 26" dataDxfId="453" dataCellStyle="Valuta"/>
    <tableColumn id="28" xr3:uid="{00000000-0010-0000-0000-00001C000000}" name="Jaar 27" dataDxfId="452" dataCellStyle="Valuta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A000000}" name="Tabel13691347102349" displayName="Tabel13691347102349" ref="B1:S26" totalsRowShown="0" headerRowDxfId="143" dataDxfId="142">
  <autoFilter ref="B1:S26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00000000-0010-0000-0A00-000001000000}" name="Exploitatiebegroting van de investeringen in warmtepompboiler en PV" dataDxfId="141"/>
    <tableColumn id="2" xr3:uid="{00000000-0010-0000-0A00-000002000000}" name="Jaar 1" dataDxfId="140" dataCellStyle="Valuta"/>
    <tableColumn id="3" xr3:uid="{00000000-0010-0000-0A00-000003000000}" name="Jaar 2" dataDxfId="139" dataCellStyle="Valuta"/>
    <tableColumn id="4" xr3:uid="{00000000-0010-0000-0A00-000004000000}" name="Jaar 3" dataDxfId="138" dataCellStyle="Valuta"/>
    <tableColumn id="5" xr3:uid="{00000000-0010-0000-0A00-000005000000}" name="Jaar 4" dataDxfId="137" dataCellStyle="Valuta"/>
    <tableColumn id="6" xr3:uid="{00000000-0010-0000-0A00-000006000000}" name="Jaar 5" dataDxfId="136" dataCellStyle="Valuta"/>
    <tableColumn id="7" xr3:uid="{00000000-0010-0000-0A00-000007000000}" name="Jaar 6" dataDxfId="135" dataCellStyle="Valuta"/>
    <tableColumn id="9" xr3:uid="{00000000-0010-0000-0A00-000009000000}" name="Jaar 7" dataDxfId="134" dataCellStyle="Valuta"/>
    <tableColumn id="10" xr3:uid="{00000000-0010-0000-0A00-00000A000000}" name="Jaar 8" dataDxfId="133" dataCellStyle="Valuta"/>
    <tableColumn id="11" xr3:uid="{00000000-0010-0000-0A00-00000B000000}" name="Jaar 9" dataDxfId="132" dataCellStyle="Valuta"/>
    <tableColumn id="12" xr3:uid="{00000000-0010-0000-0A00-00000C000000}" name="Jaar 10" dataDxfId="131" dataCellStyle="Valuta"/>
    <tableColumn id="13" xr3:uid="{00000000-0010-0000-0A00-00000D000000}" name="Jaar 11" dataDxfId="130" dataCellStyle="Valuta"/>
    <tableColumn id="14" xr3:uid="{00000000-0010-0000-0A00-00000E000000}" name="Jaar 12" dataDxfId="129" dataCellStyle="Valuta"/>
    <tableColumn id="15" xr3:uid="{00000000-0010-0000-0A00-00000F000000}" name="Jaar 13" dataDxfId="128" dataCellStyle="Valuta"/>
    <tableColumn id="16" xr3:uid="{00000000-0010-0000-0A00-000010000000}" name="Jaar 14" dataDxfId="127" dataCellStyle="Valuta"/>
    <tableColumn id="17" xr3:uid="{00000000-0010-0000-0A00-000011000000}" name="Jaar 15" dataDxfId="126" dataCellStyle="Valuta"/>
    <tableColumn id="18" xr3:uid="{00000000-0010-0000-0A00-000012000000}" name="Jaar 16" dataDxfId="125" dataCellStyle="Valuta"/>
    <tableColumn id="19" xr3:uid="{00000000-0010-0000-0A00-000013000000}" name="Jaar 17" dataDxfId="124" dataCellStyle="Valuta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B000000}" name="Tabel1" displayName="Tabel1" ref="B1:X26" totalsRowShown="0" headerRowDxfId="123" dataDxfId="122">
  <autoFilter ref="B1:X2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00000000-0010-0000-0B00-000001000000}" name="Exploitatiebegroting van LED-investeringen" dataDxfId="121"/>
    <tableColumn id="2" xr3:uid="{00000000-0010-0000-0B00-000002000000}" name="Jaar 1" dataDxfId="120" dataCellStyle="Valuta"/>
    <tableColumn id="3" xr3:uid="{00000000-0010-0000-0B00-000003000000}" name="Jaar 2" dataDxfId="119" dataCellStyle="Valuta"/>
    <tableColumn id="4" xr3:uid="{00000000-0010-0000-0B00-000004000000}" name="Jaar 3" dataDxfId="118" dataCellStyle="Valuta"/>
    <tableColumn id="5" xr3:uid="{00000000-0010-0000-0B00-000005000000}" name="Jaar 4" dataDxfId="117" dataCellStyle="Valuta"/>
    <tableColumn id="6" xr3:uid="{00000000-0010-0000-0B00-000006000000}" name="Jaar 5" dataDxfId="116" dataCellStyle="Valuta"/>
    <tableColumn id="7" xr3:uid="{00000000-0010-0000-0B00-000007000000}" name="Jaar 6" dataDxfId="115" dataCellStyle="Valuta"/>
    <tableColumn id="9" xr3:uid="{00000000-0010-0000-0B00-000009000000}" name="Jaar 7" dataDxfId="114" dataCellStyle="Valuta"/>
    <tableColumn id="10" xr3:uid="{00000000-0010-0000-0B00-00000A000000}" name="Jaar 8" dataDxfId="113" dataCellStyle="Valuta"/>
    <tableColumn id="11" xr3:uid="{00000000-0010-0000-0B00-00000B000000}" name="Jaar 9" dataDxfId="112" dataCellStyle="Valuta"/>
    <tableColumn id="12" xr3:uid="{00000000-0010-0000-0B00-00000C000000}" name="Jaar 10" dataDxfId="111" dataCellStyle="Valuta"/>
    <tableColumn id="13" xr3:uid="{00000000-0010-0000-0B00-00000D000000}" name="Jaar 11" dataDxfId="110" dataCellStyle="Valuta"/>
    <tableColumn id="14" xr3:uid="{00000000-0010-0000-0B00-00000E000000}" name="Jaar 12" dataDxfId="109" dataCellStyle="Valuta"/>
    <tableColumn id="15" xr3:uid="{00000000-0010-0000-0B00-00000F000000}" name="Jaar 13" dataDxfId="108" dataCellStyle="Valuta"/>
    <tableColumn id="16" xr3:uid="{00000000-0010-0000-0B00-000010000000}" name="Jaar 14" dataDxfId="107" dataCellStyle="Valuta"/>
    <tableColumn id="17" xr3:uid="{00000000-0010-0000-0B00-000011000000}" name="Jaar 15" dataDxfId="106" dataCellStyle="Valuta"/>
    <tableColumn id="18" xr3:uid="{00000000-0010-0000-0B00-000012000000}" name="Jaar 16" dataDxfId="105" dataCellStyle="Valuta"/>
    <tableColumn id="19" xr3:uid="{00000000-0010-0000-0B00-000013000000}" name="Jaar 17" dataDxfId="104" dataCellStyle="Valuta"/>
    <tableColumn id="20" xr3:uid="{00000000-0010-0000-0B00-000014000000}" name="Jaar 18" dataDxfId="103" dataCellStyle="Valuta"/>
    <tableColumn id="21" xr3:uid="{00000000-0010-0000-0B00-000015000000}" name="Jaar 19" dataDxfId="102" dataCellStyle="Valuta"/>
    <tableColumn id="22" xr3:uid="{00000000-0010-0000-0B00-000016000000}" name="Jaar 20" dataDxfId="101" dataCellStyle="Valuta"/>
    <tableColumn id="23" xr3:uid="{00000000-0010-0000-0B00-000017000000}" name="Jaar 21" dataDxfId="100" dataCellStyle="Valuta"/>
    <tableColumn id="24" xr3:uid="{00000000-0010-0000-0B00-000018000000}" name="Jaar 22" dataDxfId="99" dataCellStyle="Valuta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C000000}" name="Tabel18" displayName="Tabel18" ref="B1:N27" totalsRowShown="0" headerRowDxfId="98" dataDxfId="97">
  <autoFilter ref="B1:N27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C00-000001000000}" name="Exploitatiebegroting van batterij-investeringen in energietechnieken in dat pand in die sector" dataDxfId="96"/>
    <tableColumn id="2" xr3:uid="{00000000-0010-0000-0C00-000002000000}" name="Jaar 1" dataDxfId="95" dataCellStyle="Valuta"/>
    <tableColumn id="3" xr3:uid="{00000000-0010-0000-0C00-000003000000}" name="Jaar 2" dataDxfId="94" dataCellStyle="Valuta"/>
    <tableColumn id="4" xr3:uid="{00000000-0010-0000-0C00-000004000000}" name="Jaar 3" dataDxfId="93" dataCellStyle="Valuta"/>
    <tableColumn id="5" xr3:uid="{00000000-0010-0000-0C00-000005000000}" name="Jaar 4" dataDxfId="92" dataCellStyle="Valuta"/>
    <tableColumn id="6" xr3:uid="{00000000-0010-0000-0C00-000006000000}" name="Jaar 5" dataDxfId="91" dataCellStyle="Valuta"/>
    <tableColumn id="7" xr3:uid="{00000000-0010-0000-0C00-000007000000}" name="Jaar 6" dataDxfId="90" dataCellStyle="Valuta"/>
    <tableColumn id="9" xr3:uid="{00000000-0010-0000-0C00-000009000000}" name="Jaar 7" dataDxfId="89" dataCellStyle="Valuta"/>
    <tableColumn id="10" xr3:uid="{00000000-0010-0000-0C00-00000A000000}" name="Jaar 8" dataDxfId="88" dataCellStyle="Valuta"/>
    <tableColumn id="11" xr3:uid="{00000000-0010-0000-0C00-00000B000000}" name="Jaar 9" dataDxfId="87" dataCellStyle="Valuta"/>
    <tableColumn id="12" xr3:uid="{00000000-0010-0000-0C00-00000C000000}" name="Jaar 10" dataDxfId="86" dataCellStyle="Valuta"/>
    <tableColumn id="13" xr3:uid="{00000000-0010-0000-0C00-00000D000000}" name="Jaar 11" dataDxfId="85" dataCellStyle="Valuta"/>
    <tableColumn id="14" xr3:uid="{00000000-0010-0000-0C00-00000E000000}" name="Jaar 12" dataDxfId="84" dataCellStyle="Valuta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7EFFB71-E258-4B5E-8D34-04545B5BD7A4}" name="Tabel19" displayName="Tabel19" ref="B1:N26" totalsRowShown="0" headerRowDxfId="83" dataDxfId="82" dataCellStyle="Valuta">
  <autoFilter ref="B1:N26" xr:uid="{37EFFB71-E258-4B5E-8D34-04545B5BD7A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17A84BB6-6138-405B-8317-B9A0106740BD}" name="Exploitatiebegroting van batterij-investeringen in energietechnieken in dat pand in die sector"/>
    <tableColumn id="2" xr3:uid="{3F795DF5-BA83-4E47-87DF-88C135E91DE9}" name="Jaar 1" dataDxfId="81" dataCellStyle="Valuta"/>
    <tableColumn id="3" xr3:uid="{3B1CAC23-3141-48D9-B886-D6DF3CB98454}" name="Jaar 2" dataDxfId="80" dataCellStyle="Valuta"/>
    <tableColumn id="4" xr3:uid="{188285A8-65CF-499F-BCE1-D05042D8F8B5}" name="Jaar 3" dataDxfId="79" dataCellStyle="Valuta"/>
    <tableColumn id="5" xr3:uid="{B4B87335-9199-47ED-8283-515CF91A0BA0}" name="Jaar 4" dataDxfId="78" dataCellStyle="Valuta"/>
    <tableColumn id="6" xr3:uid="{47241FBE-92A1-4F6B-978E-8B07F1A265ED}" name="Jaar 5" dataDxfId="77" dataCellStyle="Valuta"/>
    <tableColumn id="7" xr3:uid="{0CDE2881-073B-47D1-B4BF-31404AF4088C}" name="Jaar 6" dataDxfId="76" dataCellStyle="Valuta"/>
    <tableColumn id="8" xr3:uid="{167CDDCD-32BD-40FE-B930-D960FA0C162D}" name="Jaar 7" dataDxfId="75" dataCellStyle="Valuta"/>
    <tableColumn id="9" xr3:uid="{45ACE63C-CD44-4FD4-B182-9336E04AA2E6}" name="Jaar 8" dataDxfId="74" dataCellStyle="Valuta"/>
    <tableColumn id="10" xr3:uid="{349A14CE-AF96-4CAF-B0B3-3270BC72C3DE}" name="Jaar 9" dataDxfId="73" dataCellStyle="Valuta"/>
    <tableColumn id="11" xr3:uid="{8CE01C36-4B0B-4884-BC07-F8C836217247}" name="Jaar 10" dataDxfId="72" dataCellStyle="Valuta"/>
    <tableColumn id="12" xr3:uid="{455931EF-0C2E-4E4A-ACB1-892B183C9A09}" name="Jaar 11" dataDxfId="71" dataCellStyle="Valuta"/>
    <tableColumn id="13" xr3:uid="{200EF146-3F4C-4371-8DC9-0C9C75B9C6A9}" name="Jaar 12" dataDxfId="70" dataCellStyle="Valuta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D000000}" name="Tabel13691347" displayName="Tabel13691347" ref="B1:X27" totalsRowShown="0" headerRowDxfId="69" dataDxfId="68">
  <autoFilter ref="B1:X27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00000000-0010-0000-0D00-000001000000}" name="Exploitatiebegroting van de investeringen in brandstofcel" dataDxfId="67"/>
    <tableColumn id="2" xr3:uid="{00000000-0010-0000-0D00-000002000000}" name="Jaar 1" dataDxfId="66" dataCellStyle="Valuta"/>
    <tableColumn id="3" xr3:uid="{00000000-0010-0000-0D00-000003000000}" name="Jaar 2" dataDxfId="65" dataCellStyle="Valuta"/>
    <tableColumn id="4" xr3:uid="{00000000-0010-0000-0D00-000004000000}" name="Jaar 3" dataDxfId="64" dataCellStyle="Valuta"/>
    <tableColumn id="5" xr3:uid="{00000000-0010-0000-0D00-000005000000}" name="Jaar 4" dataDxfId="63" dataCellStyle="Valuta"/>
    <tableColumn id="6" xr3:uid="{00000000-0010-0000-0D00-000006000000}" name="Jaar 5" dataDxfId="62" dataCellStyle="Valuta"/>
    <tableColumn id="7" xr3:uid="{00000000-0010-0000-0D00-000007000000}" name="Jaar 6" dataDxfId="61" dataCellStyle="Valuta"/>
    <tableColumn id="9" xr3:uid="{00000000-0010-0000-0D00-000009000000}" name="Jaar 7" dataDxfId="60" dataCellStyle="Valuta"/>
    <tableColumn id="10" xr3:uid="{00000000-0010-0000-0D00-00000A000000}" name="Jaar 8" dataDxfId="59" dataCellStyle="Valuta"/>
    <tableColumn id="11" xr3:uid="{00000000-0010-0000-0D00-00000B000000}" name="Jaar 9" dataDxfId="58" dataCellStyle="Valuta"/>
    <tableColumn id="12" xr3:uid="{00000000-0010-0000-0D00-00000C000000}" name="Jaar 10" dataDxfId="57" dataCellStyle="Valuta"/>
    <tableColumn id="13" xr3:uid="{00000000-0010-0000-0D00-00000D000000}" name="Jaar 11" dataDxfId="56" dataCellStyle="Valuta"/>
    <tableColumn id="14" xr3:uid="{00000000-0010-0000-0D00-00000E000000}" name="Jaar 12" dataDxfId="55" dataCellStyle="Valuta"/>
    <tableColumn id="15" xr3:uid="{00000000-0010-0000-0D00-00000F000000}" name="Jaar 13" dataDxfId="54" dataCellStyle="Valuta"/>
    <tableColumn id="16" xr3:uid="{00000000-0010-0000-0D00-000010000000}" name="Jaar 14" dataDxfId="53" dataCellStyle="Valuta"/>
    <tableColumn id="17" xr3:uid="{00000000-0010-0000-0D00-000011000000}" name="Jaar 15" dataDxfId="52" dataCellStyle="Valuta"/>
    <tableColumn id="18" xr3:uid="{00000000-0010-0000-0D00-000012000000}" name="Jaar 16" dataDxfId="51" dataCellStyle="Valuta"/>
    <tableColumn id="19" xr3:uid="{00000000-0010-0000-0D00-000013000000}" name="Jaar 17" dataDxfId="50" dataCellStyle="Valuta"/>
    <tableColumn id="20" xr3:uid="{00000000-0010-0000-0D00-000014000000}" name="Jaar 18" dataDxfId="49" dataCellStyle="Valuta"/>
    <tableColumn id="21" xr3:uid="{00000000-0010-0000-0D00-000015000000}" name="Jaar 19" dataDxfId="48" dataCellStyle="Valuta"/>
    <tableColumn id="22" xr3:uid="{00000000-0010-0000-0D00-000016000000}" name="Jaar 20" dataDxfId="47" dataCellStyle="Valuta"/>
    <tableColumn id="23" xr3:uid="{00000000-0010-0000-0D00-000017000000}" name="Jaar 21" dataDxfId="46" dataCellStyle="Valuta"/>
    <tableColumn id="24" xr3:uid="{00000000-0010-0000-0D00-000018000000}" name="Jaar 22" dataDxfId="45" dataCellStyle="Valuta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E000000}" name="Tabel136912" displayName="Tabel136912" ref="B1:AR28" totalsRowShown="0" headerRowDxfId="44" dataDxfId="43">
  <autoFilter ref="B1:AR2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E00-000001000000}" name="Exploitatiebegroting van de investeringen in Warmtepomp WW-grondbron-Beoveld" dataDxfId="42"/>
    <tableColumn id="2" xr3:uid="{00000000-0010-0000-0E00-000002000000}" name="Jaar 1" dataDxfId="41" dataCellStyle="Valuta"/>
    <tableColumn id="3" xr3:uid="{00000000-0010-0000-0E00-000003000000}" name="Jaar 2" dataDxfId="40" dataCellStyle="Valuta"/>
    <tableColumn id="4" xr3:uid="{00000000-0010-0000-0E00-000004000000}" name="Jaar 3" dataDxfId="39" dataCellStyle="Valuta"/>
    <tableColumn id="5" xr3:uid="{00000000-0010-0000-0E00-000005000000}" name="Jaar 4" dataDxfId="38" dataCellStyle="Valuta"/>
    <tableColumn id="6" xr3:uid="{00000000-0010-0000-0E00-000006000000}" name="Jaar 5" dataDxfId="37" dataCellStyle="Valuta"/>
    <tableColumn id="7" xr3:uid="{00000000-0010-0000-0E00-000007000000}" name="Jaar 6" dataDxfId="36" dataCellStyle="Valuta"/>
    <tableColumn id="9" xr3:uid="{00000000-0010-0000-0E00-000009000000}" name="Jaar 7" dataDxfId="35" dataCellStyle="Valuta"/>
    <tableColumn id="10" xr3:uid="{00000000-0010-0000-0E00-00000A000000}" name="Jaar 8" dataDxfId="34" dataCellStyle="Valuta"/>
    <tableColumn id="11" xr3:uid="{00000000-0010-0000-0E00-00000B000000}" name="Jaar 9" dataDxfId="33" dataCellStyle="Valuta"/>
    <tableColumn id="12" xr3:uid="{00000000-0010-0000-0E00-00000C000000}" name="Jaar 10" dataDxfId="32" dataCellStyle="Valuta"/>
    <tableColumn id="13" xr3:uid="{00000000-0010-0000-0E00-00000D000000}" name="Jaar 11" dataDxfId="31" dataCellStyle="Valuta"/>
    <tableColumn id="14" xr3:uid="{00000000-0010-0000-0E00-00000E000000}" name="Jaar 12" dataDxfId="30" dataCellStyle="Valuta"/>
    <tableColumn id="15" xr3:uid="{00000000-0010-0000-0E00-00000F000000}" name="Jaar 13" dataDxfId="29" dataCellStyle="Valuta"/>
    <tableColumn id="16" xr3:uid="{00000000-0010-0000-0E00-000010000000}" name="Jaar 14" dataDxfId="28" dataCellStyle="Valuta"/>
    <tableColumn id="17" xr3:uid="{00000000-0010-0000-0E00-000011000000}" name="Jaar 15" dataDxfId="27" dataCellStyle="Valuta"/>
    <tableColumn id="18" xr3:uid="{00000000-0010-0000-0E00-000012000000}" name="Jaar 16" dataDxfId="26" dataCellStyle="Valuta"/>
    <tableColumn id="19" xr3:uid="{00000000-0010-0000-0E00-000013000000}" name="Jaar 17" dataDxfId="25" dataCellStyle="Valuta"/>
    <tableColumn id="20" xr3:uid="{00000000-0010-0000-0E00-000014000000}" name="Jaar 18" dataDxfId="24" dataCellStyle="Valuta"/>
    <tableColumn id="21" xr3:uid="{00000000-0010-0000-0E00-000015000000}" name="Jaar 19" dataDxfId="23" dataCellStyle="Valuta"/>
    <tableColumn id="22" xr3:uid="{00000000-0010-0000-0E00-000016000000}" name="Jaar 20" dataDxfId="22" dataCellStyle="Valuta"/>
    <tableColumn id="23" xr3:uid="{00000000-0010-0000-0E00-000017000000}" name="Jaar 21" dataDxfId="21" dataCellStyle="Valuta"/>
    <tableColumn id="24" xr3:uid="{00000000-0010-0000-0E00-000018000000}" name="Jaar 22" dataDxfId="20" dataCellStyle="Valuta"/>
    <tableColumn id="25" xr3:uid="{00000000-0010-0000-0E00-000019000000}" name="Jaar 23" dataDxfId="19" dataCellStyle="Valuta"/>
    <tableColumn id="26" xr3:uid="{00000000-0010-0000-0E00-00001A000000}" name="Jaar 24" dataDxfId="18" dataCellStyle="Valuta"/>
    <tableColumn id="27" xr3:uid="{00000000-0010-0000-0E00-00001B000000}" name="Jaar 25" dataDxfId="17" dataCellStyle="Valuta"/>
    <tableColumn id="8" xr3:uid="{00000000-0010-0000-0E00-000008000000}" name="Jaar 26" dataDxfId="16" dataCellStyle="Valuta"/>
    <tableColumn id="28" xr3:uid="{00000000-0010-0000-0E00-00001C000000}" name="Jaar 27" dataDxfId="15" dataCellStyle="Valuta"/>
    <tableColumn id="29" xr3:uid="{00000000-0010-0000-0E00-00001D000000}" name="Jaar 28" dataDxfId="14" dataCellStyle="Valuta"/>
    <tableColumn id="30" xr3:uid="{00000000-0010-0000-0E00-00001E000000}" name="Jaar 29" dataDxfId="13" dataCellStyle="Valuta"/>
    <tableColumn id="31" xr3:uid="{00000000-0010-0000-0E00-00001F000000}" name="Jaar 30" dataDxfId="12" dataCellStyle="Valuta"/>
    <tableColumn id="32" xr3:uid="{00000000-0010-0000-0E00-000020000000}" name="Jaar 31" dataDxfId="11" dataCellStyle="Valuta"/>
    <tableColumn id="33" xr3:uid="{00000000-0010-0000-0E00-000021000000}" name="Jaar 32" dataDxfId="10" dataCellStyle="Valuta"/>
    <tableColumn id="34" xr3:uid="{00000000-0010-0000-0E00-000022000000}" name="Jaar 33" dataDxfId="9" dataCellStyle="Valuta"/>
    <tableColumn id="35" xr3:uid="{00000000-0010-0000-0E00-000023000000}" name="Jaar 34" dataDxfId="8" dataCellStyle="Valuta"/>
    <tableColumn id="36" xr3:uid="{00000000-0010-0000-0E00-000024000000}" name="Jaar 35" dataDxfId="7" dataCellStyle="Valuta"/>
    <tableColumn id="37" xr3:uid="{00000000-0010-0000-0E00-000025000000}" name="Jaar 36" dataDxfId="6" dataCellStyle="Valuta"/>
    <tableColumn id="38" xr3:uid="{00000000-0010-0000-0E00-000026000000}" name="Jaar 37" dataDxfId="5" dataCellStyle="Valuta"/>
    <tableColumn id="39" xr3:uid="{00000000-0010-0000-0E00-000027000000}" name="Jaar 38" dataDxfId="4" dataCellStyle="Valuta"/>
    <tableColumn id="40" xr3:uid="{00000000-0010-0000-0E00-000028000000}" name="Jaar 39" dataDxfId="3" dataCellStyle="Valuta"/>
    <tableColumn id="41" xr3:uid="{00000000-0010-0000-0E00-000029000000}" name="Jaar 40" dataDxfId="2" dataCellStyle="Valuta"/>
    <tableColumn id="42" xr3:uid="{00000000-0010-0000-0E00-00002A000000}" name="Jaar 41" dataDxfId="1" dataCellStyle="Valuta"/>
    <tableColumn id="43" xr3:uid="{00000000-0010-0000-0E00-00002B000000}" name="Jaar 42" dataDxfId="0" dataCellStyle="Valut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Tabel1369134710235" displayName="Tabel1369134710235" ref="B1:AI27" totalsRowShown="0" dataDxfId="451">
  <autoFilter ref="B1:AI27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</autoFilter>
  <tableColumns count="34">
    <tableColumn id="1" xr3:uid="{00000000-0010-0000-0100-000001000000}" name="Exploitatiebegroting van de investeringen in Ecologische Isolatie" dataDxfId="450"/>
    <tableColumn id="2" xr3:uid="{00000000-0010-0000-0100-000002000000}" name="Jaar 1" dataDxfId="449" dataCellStyle="Valuta"/>
    <tableColumn id="3" xr3:uid="{00000000-0010-0000-0100-000003000000}" name="Jaar 2" dataDxfId="448" dataCellStyle="Valuta"/>
    <tableColumn id="4" xr3:uid="{00000000-0010-0000-0100-000004000000}" name="Jaar 3" dataDxfId="447" dataCellStyle="Valuta"/>
    <tableColumn id="5" xr3:uid="{00000000-0010-0000-0100-000005000000}" name="Jaar 4" dataDxfId="446" dataCellStyle="Valuta"/>
    <tableColumn id="6" xr3:uid="{00000000-0010-0000-0100-000006000000}" name="Jaar 5" dataDxfId="445" dataCellStyle="Valuta"/>
    <tableColumn id="7" xr3:uid="{00000000-0010-0000-0100-000007000000}" name="Jaar 6" dataDxfId="444" dataCellStyle="Valuta"/>
    <tableColumn id="9" xr3:uid="{00000000-0010-0000-0100-000009000000}" name="Jaar 7" dataDxfId="443" dataCellStyle="Valuta"/>
    <tableColumn id="10" xr3:uid="{00000000-0010-0000-0100-00000A000000}" name="Jaar 8" dataDxfId="442" dataCellStyle="Valuta"/>
    <tableColumn id="11" xr3:uid="{00000000-0010-0000-0100-00000B000000}" name="Jaar 9" dataDxfId="441" dataCellStyle="Valuta"/>
    <tableColumn id="12" xr3:uid="{00000000-0010-0000-0100-00000C000000}" name="Jaar 10" dataDxfId="440" dataCellStyle="Valuta"/>
    <tableColumn id="13" xr3:uid="{00000000-0010-0000-0100-00000D000000}" name="Jaar 11" dataDxfId="439" dataCellStyle="Valuta"/>
    <tableColumn id="14" xr3:uid="{00000000-0010-0000-0100-00000E000000}" name="Jaar 12" dataDxfId="438" dataCellStyle="Valuta"/>
    <tableColumn id="15" xr3:uid="{00000000-0010-0000-0100-00000F000000}" name="Jaar 13" dataDxfId="437" dataCellStyle="Valuta"/>
    <tableColumn id="16" xr3:uid="{00000000-0010-0000-0100-000010000000}" name="Jaar 14" dataDxfId="436" dataCellStyle="Valuta"/>
    <tableColumn id="17" xr3:uid="{00000000-0010-0000-0100-000011000000}" name="Jaar 15" dataDxfId="435" dataCellStyle="Valuta"/>
    <tableColumn id="18" xr3:uid="{00000000-0010-0000-0100-000012000000}" name="Jaar 16" dataDxfId="434" dataCellStyle="Valuta"/>
    <tableColumn id="19" xr3:uid="{00000000-0010-0000-0100-000013000000}" name="Jaar 17" dataDxfId="433" dataCellStyle="Valuta"/>
    <tableColumn id="20" xr3:uid="{00000000-0010-0000-0100-000014000000}" name="Jaar 18" dataDxfId="432" dataCellStyle="Valuta"/>
    <tableColumn id="21" xr3:uid="{00000000-0010-0000-0100-000015000000}" name="Jaar 19" dataDxfId="431" dataCellStyle="Valuta"/>
    <tableColumn id="22" xr3:uid="{00000000-0010-0000-0100-000016000000}" name="Jaar 20" dataDxfId="430" dataCellStyle="Valuta"/>
    <tableColumn id="23" xr3:uid="{00000000-0010-0000-0100-000017000000}" name="Jaar 21" dataDxfId="429" dataCellStyle="Valuta"/>
    <tableColumn id="24" xr3:uid="{00000000-0010-0000-0100-000018000000}" name="Jaar 22" dataDxfId="428" dataCellStyle="Valuta"/>
    <tableColumn id="25" xr3:uid="{00000000-0010-0000-0100-000019000000}" name="Jaar 23" dataDxfId="427" dataCellStyle="Valuta"/>
    <tableColumn id="26" xr3:uid="{00000000-0010-0000-0100-00001A000000}" name="Jaar 24" dataDxfId="426" dataCellStyle="Valuta"/>
    <tableColumn id="27" xr3:uid="{00000000-0010-0000-0100-00001B000000}" name="Jaar 25" dataDxfId="425" dataCellStyle="Valuta"/>
    <tableColumn id="8" xr3:uid="{00000000-0010-0000-0100-000008000000}" name="Jaar 26" dataDxfId="424" dataCellStyle="Valuta"/>
    <tableColumn id="28" xr3:uid="{00000000-0010-0000-0100-00001C000000}" name="Jaar 27" dataDxfId="423" dataCellStyle="Valuta"/>
    <tableColumn id="29" xr3:uid="{00000000-0010-0000-0100-00001D000000}" name="Jaar 28" dataDxfId="422" dataCellStyle="Valuta"/>
    <tableColumn id="30" xr3:uid="{00000000-0010-0000-0100-00001E000000}" name="Jaar 29" dataDxfId="421" dataCellStyle="Valuta"/>
    <tableColumn id="31" xr3:uid="{00000000-0010-0000-0100-00001F000000}" name="Jaar 30" dataDxfId="420" dataCellStyle="Valuta"/>
    <tableColumn id="32" xr3:uid="{00000000-0010-0000-0100-000020000000}" name="Jaar 31" dataDxfId="419" dataCellStyle="Valuta"/>
    <tableColumn id="33" xr3:uid="{00000000-0010-0000-0100-000021000000}" name="Jaar 32" dataDxfId="418" dataCellStyle="Valuta"/>
    <tableColumn id="34" xr3:uid="{00000000-0010-0000-0100-000022000000}" name="Jaar 33" dataDxfId="417" dataCellStyle="Valuta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el1369134710" displayName="Tabel1369134710" ref="B1:AH27" totalsRowShown="0" headerRowDxfId="416" dataDxfId="415">
  <autoFilter ref="B1:AH2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200-000001000000}" name="Exploitatiebegroting van de investeringen in vacuumglas" dataDxfId="414"/>
    <tableColumn id="2" xr3:uid="{00000000-0010-0000-0200-000002000000}" name="Jaar 1" dataDxfId="413" dataCellStyle="Valuta"/>
    <tableColumn id="3" xr3:uid="{00000000-0010-0000-0200-000003000000}" name="Jaar 2" dataDxfId="412" dataCellStyle="Valuta"/>
    <tableColumn id="4" xr3:uid="{00000000-0010-0000-0200-000004000000}" name="Jaar 3" dataDxfId="411" dataCellStyle="Valuta"/>
    <tableColumn id="5" xr3:uid="{00000000-0010-0000-0200-000005000000}" name="Jaar 4" dataDxfId="410" dataCellStyle="Valuta"/>
    <tableColumn id="6" xr3:uid="{00000000-0010-0000-0200-000006000000}" name="Jaar 5" dataDxfId="409" dataCellStyle="Valuta"/>
    <tableColumn id="7" xr3:uid="{00000000-0010-0000-0200-000007000000}" name="Jaar 6" dataDxfId="408" dataCellStyle="Valuta"/>
    <tableColumn id="9" xr3:uid="{00000000-0010-0000-0200-000009000000}" name="Jaar 7" dataDxfId="407" dataCellStyle="Valuta"/>
    <tableColumn id="10" xr3:uid="{00000000-0010-0000-0200-00000A000000}" name="Jaar 8" dataDxfId="406" dataCellStyle="Valuta"/>
    <tableColumn id="11" xr3:uid="{00000000-0010-0000-0200-00000B000000}" name="Jaar 9" dataDxfId="405" dataCellStyle="Valuta"/>
    <tableColumn id="12" xr3:uid="{00000000-0010-0000-0200-00000C000000}" name="Jaar 10" dataDxfId="404" dataCellStyle="Valuta"/>
    <tableColumn id="13" xr3:uid="{00000000-0010-0000-0200-00000D000000}" name="Jaar 11" dataDxfId="403" dataCellStyle="Valuta"/>
    <tableColumn id="14" xr3:uid="{00000000-0010-0000-0200-00000E000000}" name="Jaar 12" dataDxfId="402" dataCellStyle="Valuta"/>
    <tableColumn id="15" xr3:uid="{00000000-0010-0000-0200-00000F000000}" name="Jaar 13" dataDxfId="401" dataCellStyle="Valuta"/>
    <tableColumn id="16" xr3:uid="{00000000-0010-0000-0200-000010000000}" name="Jaar 14" dataDxfId="400" dataCellStyle="Valuta"/>
    <tableColumn id="17" xr3:uid="{00000000-0010-0000-0200-000011000000}" name="Jaar 15" dataDxfId="399" dataCellStyle="Valuta"/>
    <tableColumn id="18" xr3:uid="{00000000-0010-0000-0200-000012000000}" name="Jaar 16" dataDxfId="398" dataCellStyle="Valuta"/>
    <tableColumn id="19" xr3:uid="{00000000-0010-0000-0200-000013000000}" name="Jaar 17" dataDxfId="397" dataCellStyle="Valuta"/>
    <tableColumn id="20" xr3:uid="{00000000-0010-0000-0200-000014000000}" name="Jaar 18" dataDxfId="396" dataCellStyle="Valuta"/>
    <tableColumn id="21" xr3:uid="{00000000-0010-0000-0200-000015000000}" name="Jaar 19" dataDxfId="395" dataCellStyle="Valuta"/>
    <tableColumn id="22" xr3:uid="{00000000-0010-0000-0200-000016000000}" name="Jaar 20" dataDxfId="394" dataCellStyle="Valuta"/>
    <tableColumn id="23" xr3:uid="{00000000-0010-0000-0200-000017000000}" name="Jaar 21" dataDxfId="393" dataCellStyle="Valuta"/>
    <tableColumn id="24" xr3:uid="{00000000-0010-0000-0200-000018000000}" name="Jaar 22" dataDxfId="392" dataCellStyle="Valuta"/>
    <tableColumn id="25" xr3:uid="{00000000-0010-0000-0200-000019000000}" name="Jaar 23" dataDxfId="391" dataCellStyle="Valuta"/>
    <tableColumn id="26" xr3:uid="{00000000-0010-0000-0200-00001A000000}" name="Jaar 24" dataDxfId="390" dataCellStyle="Valuta"/>
    <tableColumn id="27" xr3:uid="{00000000-0010-0000-0200-00001B000000}" name="Jaar 25" dataDxfId="389" dataCellStyle="Valuta"/>
    <tableColumn id="8" xr3:uid="{00000000-0010-0000-0200-000008000000}" name="Jaar 26" dataDxfId="388" dataCellStyle="Valuta"/>
    <tableColumn id="28" xr3:uid="{00000000-0010-0000-0200-00001C000000}" name="Jaar 27" dataDxfId="387" dataCellStyle="Valuta"/>
    <tableColumn id="29" xr3:uid="{00000000-0010-0000-0200-00001D000000}" name="Jaar 28" dataDxfId="386" dataCellStyle="Valuta"/>
    <tableColumn id="30" xr3:uid="{00000000-0010-0000-0200-00001E000000}" name="Jaar 29" dataDxfId="385" dataCellStyle="Valuta"/>
    <tableColumn id="31" xr3:uid="{00000000-0010-0000-0200-00001F000000}" name="Jaar 30" dataDxfId="384" dataCellStyle="Valuta"/>
    <tableColumn id="32" xr3:uid="{00000000-0010-0000-0200-000020000000}" name="Jaar 31" dataDxfId="383" dataCellStyle="Valuta"/>
    <tableColumn id="33" xr3:uid="{00000000-0010-0000-0200-000021000000}" name="Jaar 32" dataDxfId="382" dataCellStyle="Valut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el136911" displayName="Tabel136911" ref="B1:AC27" totalsRowShown="0" headerRowDxfId="381" dataDxfId="380">
  <autoFilter ref="B1:AC27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00000000-0010-0000-0300-000001000000}" name="Exploitatiebegroting van de investeringen in Basis PV" dataDxfId="379"/>
    <tableColumn id="2" xr3:uid="{00000000-0010-0000-0300-000002000000}" name="Jaar 1" dataDxfId="378" dataCellStyle="Valuta"/>
    <tableColumn id="3" xr3:uid="{00000000-0010-0000-0300-000003000000}" name="Jaar 2" dataDxfId="377" dataCellStyle="Valuta"/>
    <tableColumn id="4" xr3:uid="{00000000-0010-0000-0300-000004000000}" name="Jaar 3" dataDxfId="376" dataCellStyle="Valuta"/>
    <tableColumn id="5" xr3:uid="{00000000-0010-0000-0300-000005000000}" name="Jaar 4" dataDxfId="375" dataCellStyle="Valuta"/>
    <tableColumn id="6" xr3:uid="{00000000-0010-0000-0300-000006000000}" name="Jaar 5" dataDxfId="374" dataCellStyle="Valuta"/>
    <tableColumn id="7" xr3:uid="{00000000-0010-0000-0300-000007000000}" name="Jaar 6" dataDxfId="373" dataCellStyle="Valuta"/>
    <tableColumn id="9" xr3:uid="{00000000-0010-0000-0300-000009000000}" name="Jaar 7" dataDxfId="372" dataCellStyle="Valuta"/>
    <tableColumn id="10" xr3:uid="{00000000-0010-0000-0300-00000A000000}" name="Jaar 8" dataDxfId="371" dataCellStyle="Valuta"/>
    <tableColumn id="11" xr3:uid="{00000000-0010-0000-0300-00000B000000}" name="Jaar 9" dataDxfId="370" dataCellStyle="Valuta"/>
    <tableColumn id="12" xr3:uid="{00000000-0010-0000-0300-00000C000000}" name="Jaar 10" dataDxfId="369" dataCellStyle="Valuta"/>
    <tableColumn id="13" xr3:uid="{00000000-0010-0000-0300-00000D000000}" name="Jaar 11" dataDxfId="368" dataCellStyle="Valuta"/>
    <tableColumn id="14" xr3:uid="{00000000-0010-0000-0300-00000E000000}" name="Jaar 12" dataDxfId="367" dataCellStyle="Valuta"/>
    <tableColumn id="15" xr3:uid="{00000000-0010-0000-0300-00000F000000}" name="Jaar 13" dataDxfId="366" dataCellStyle="Valuta"/>
    <tableColumn id="16" xr3:uid="{00000000-0010-0000-0300-000010000000}" name="Jaar 14" dataDxfId="365" dataCellStyle="Valuta"/>
    <tableColumn id="17" xr3:uid="{00000000-0010-0000-0300-000011000000}" name="Jaar 15" dataDxfId="364" dataCellStyle="Valuta"/>
    <tableColumn id="18" xr3:uid="{00000000-0010-0000-0300-000012000000}" name="Jaar 16" dataDxfId="363" dataCellStyle="Valuta"/>
    <tableColumn id="19" xr3:uid="{00000000-0010-0000-0300-000013000000}" name="Jaar 17" dataDxfId="362" dataCellStyle="Valuta"/>
    <tableColumn id="20" xr3:uid="{00000000-0010-0000-0300-000014000000}" name="Jaar 18" dataDxfId="361" dataCellStyle="Valuta"/>
    <tableColumn id="21" xr3:uid="{00000000-0010-0000-0300-000015000000}" name="Jaar 19" dataDxfId="360" dataCellStyle="Valuta"/>
    <tableColumn id="22" xr3:uid="{00000000-0010-0000-0300-000016000000}" name="Jaar 20" dataDxfId="359" dataCellStyle="Valuta"/>
    <tableColumn id="23" xr3:uid="{00000000-0010-0000-0300-000017000000}" name="Jaar 21" dataDxfId="358" dataCellStyle="Valuta"/>
    <tableColumn id="24" xr3:uid="{00000000-0010-0000-0300-000018000000}" name="Jaar 22" dataDxfId="357" dataCellStyle="Valuta"/>
    <tableColumn id="25" xr3:uid="{00000000-0010-0000-0300-000019000000}" name="Jaar 23" dataDxfId="356" dataCellStyle="Valuta"/>
    <tableColumn id="26" xr3:uid="{00000000-0010-0000-0300-00001A000000}" name="Jaar 24" dataDxfId="355" dataCellStyle="Valuta"/>
    <tableColumn id="27" xr3:uid="{00000000-0010-0000-0300-00001B000000}" name="Jaar 25" dataDxfId="354" dataCellStyle="Valuta"/>
    <tableColumn id="8" xr3:uid="{00000000-0010-0000-0300-000008000000}" name="Jaar 26" dataDxfId="353" dataCellStyle="Valuta"/>
    <tableColumn id="28" xr3:uid="{00000000-0010-0000-0300-00001C000000}" name="Jaar 27" dataDxfId="352" dataCellStyle="Valuta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Tabel13691347102346" displayName="Tabel13691347102346" ref="B1:X27" totalsRowShown="0" headerRowDxfId="351" dataDxfId="350">
  <autoFilter ref="B1:X27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00000000-0010-0000-0400-000001000000}" name="Exploitatiebegroting van de investeringen in zonneboiler" dataDxfId="349"/>
    <tableColumn id="2" xr3:uid="{00000000-0010-0000-0400-000002000000}" name="Jaar 1" dataDxfId="348" dataCellStyle="Valuta"/>
    <tableColumn id="3" xr3:uid="{00000000-0010-0000-0400-000003000000}" name="Jaar 2" dataDxfId="347" dataCellStyle="Valuta"/>
    <tableColumn id="4" xr3:uid="{00000000-0010-0000-0400-000004000000}" name="Jaar 3" dataDxfId="346" dataCellStyle="Valuta"/>
    <tableColumn id="5" xr3:uid="{00000000-0010-0000-0400-000005000000}" name="Jaar 4" dataDxfId="345" dataCellStyle="Valuta"/>
    <tableColumn id="6" xr3:uid="{00000000-0010-0000-0400-000006000000}" name="Jaar 5" dataDxfId="344" dataCellStyle="Valuta"/>
    <tableColumn id="7" xr3:uid="{00000000-0010-0000-0400-000007000000}" name="Jaar 6" dataDxfId="343" dataCellStyle="Valuta"/>
    <tableColumn id="9" xr3:uid="{00000000-0010-0000-0400-000009000000}" name="Jaar 7" dataDxfId="342" dataCellStyle="Valuta"/>
    <tableColumn id="10" xr3:uid="{00000000-0010-0000-0400-00000A000000}" name="Jaar 8" dataDxfId="341" dataCellStyle="Valuta"/>
    <tableColumn id="11" xr3:uid="{00000000-0010-0000-0400-00000B000000}" name="Jaar 9" dataDxfId="340" dataCellStyle="Valuta"/>
    <tableColumn id="12" xr3:uid="{00000000-0010-0000-0400-00000C000000}" name="Jaar 10" dataDxfId="339" dataCellStyle="Valuta"/>
    <tableColumn id="13" xr3:uid="{00000000-0010-0000-0400-00000D000000}" name="Jaar 11" dataDxfId="338" dataCellStyle="Valuta"/>
    <tableColumn id="14" xr3:uid="{00000000-0010-0000-0400-00000E000000}" name="Jaar 12" dataDxfId="337" dataCellStyle="Valuta"/>
    <tableColumn id="15" xr3:uid="{00000000-0010-0000-0400-00000F000000}" name="Jaar 13" dataDxfId="336" dataCellStyle="Valuta"/>
    <tableColumn id="16" xr3:uid="{00000000-0010-0000-0400-000010000000}" name="Jaar 14" dataDxfId="335" dataCellStyle="Valuta"/>
    <tableColumn id="17" xr3:uid="{00000000-0010-0000-0400-000011000000}" name="Jaar 15" dataDxfId="334" dataCellStyle="Valuta"/>
    <tableColumn id="18" xr3:uid="{00000000-0010-0000-0400-000012000000}" name="Jaar 16" dataDxfId="333" dataCellStyle="Valuta"/>
    <tableColumn id="19" xr3:uid="{00000000-0010-0000-0400-000013000000}" name="Jaar 17" dataDxfId="332" dataCellStyle="Valuta"/>
    <tableColumn id="20" xr3:uid="{00000000-0010-0000-0400-000014000000}" name="Jaar 18" dataDxfId="331" dataCellStyle="Valuta"/>
    <tableColumn id="21" xr3:uid="{00000000-0010-0000-0400-000015000000}" name="Jaar 19" dataDxfId="330" dataCellStyle="Valuta"/>
    <tableColumn id="22" xr3:uid="{00000000-0010-0000-0400-000016000000}" name="Jaar 20" dataDxfId="329" dataCellStyle="Valuta"/>
    <tableColumn id="23" xr3:uid="{00000000-0010-0000-0400-000017000000}" name="Jaar 21" dataDxfId="328" dataCellStyle="Valuta"/>
    <tableColumn id="24" xr3:uid="{00000000-0010-0000-0400-000018000000}" name="Jaar 22" dataDxfId="327" dataCellStyle="Valuta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Tabel136913" displayName="Tabel136913" ref="B1:AS28" totalsRowShown="0" headerRowDxfId="326" dataDxfId="325">
  <autoFilter ref="B1:AS2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</autoFilter>
  <tableColumns count="44">
    <tableColumn id="1" xr3:uid="{00000000-0010-0000-0500-000001000000}" name="Exploitatiebegroting van de investeringen in Warmtepomp - monovalent LW" dataDxfId="324"/>
    <tableColumn id="2" xr3:uid="{00000000-0010-0000-0500-000002000000}" name="Jaar 1" dataDxfId="323" dataCellStyle="Valuta"/>
    <tableColumn id="3" xr3:uid="{00000000-0010-0000-0500-000003000000}" name="Jaar 2" dataDxfId="322" dataCellStyle="Valuta"/>
    <tableColumn id="4" xr3:uid="{00000000-0010-0000-0500-000004000000}" name="Jaar 3" dataDxfId="321" dataCellStyle="Valuta"/>
    <tableColumn id="5" xr3:uid="{00000000-0010-0000-0500-000005000000}" name="Jaar 4" dataDxfId="320" dataCellStyle="Valuta"/>
    <tableColumn id="6" xr3:uid="{00000000-0010-0000-0500-000006000000}" name="Jaar 5" dataDxfId="319" dataCellStyle="Valuta"/>
    <tableColumn id="7" xr3:uid="{00000000-0010-0000-0500-000007000000}" name="Jaar 6" dataDxfId="318" dataCellStyle="Valuta"/>
    <tableColumn id="9" xr3:uid="{00000000-0010-0000-0500-000009000000}" name="Jaar 7" dataDxfId="317" dataCellStyle="Valuta"/>
    <tableColumn id="10" xr3:uid="{00000000-0010-0000-0500-00000A000000}" name="Jaar 8" dataDxfId="316" dataCellStyle="Valuta"/>
    <tableColumn id="11" xr3:uid="{00000000-0010-0000-0500-00000B000000}" name="Jaar 9" dataDxfId="315" dataCellStyle="Valuta"/>
    <tableColumn id="12" xr3:uid="{00000000-0010-0000-0500-00000C000000}" name="Jaar 10" dataDxfId="314" dataCellStyle="Valuta"/>
    <tableColumn id="13" xr3:uid="{00000000-0010-0000-0500-00000D000000}" name="Jaar 11" dataDxfId="313" dataCellStyle="Valuta"/>
    <tableColumn id="14" xr3:uid="{00000000-0010-0000-0500-00000E000000}" name="Jaar 12" dataDxfId="312" dataCellStyle="Valuta"/>
    <tableColumn id="15" xr3:uid="{00000000-0010-0000-0500-00000F000000}" name="Jaar 13" dataDxfId="311" dataCellStyle="Valuta"/>
    <tableColumn id="16" xr3:uid="{00000000-0010-0000-0500-000010000000}" name="Jaar 14" dataDxfId="310" dataCellStyle="Valuta"/>
    <tableColumn id="17" xr3:uid="{00000000-0010-0000-0500-000011000000}" name="Jaar 15" dataDxfId="309" dataCellStyle="Valuta"/>
    <tableColumn id="18" xr3:uid="{00000000-0010-0000-0500-000012000000}" name="Jaar 16" dataDxfId="308" dataCellStyle="Valuta"/>
    <tableColumn id="19" xr3:uid="{00000000-0010-0000-0500-000013000000}" name="Jaar 17" dataDxfId="307" dataCellStyle="Valuta"/>
    <tableColumn id="20" xr3:uid="{00000000-0010-0000-0500-000014000000}" name="Jaar 18" dataDxfId="306" dataCellStyle="Valuta"/>
    <tableColumn id="21" xr3:uid="{00000000-0010-0000-0500-000015000000}" name="Jaar 19" dataDxfId="305" dataCellStyle="Valuta"/>
    <tableColumn id="22" xr3:uid="{00000000-0010-0000-0500-000016000000}" name="Jaar 20" dataDxfId="304" dataCellStyle="Valuta"/>
    <tableColumn id="23" xr3:uid="{00000000-0010-0000-0500-000017000000}" name="Jaar 21" dataDxfId="303" dataCellStyle="Valuta"/>
    <tableColumn id="24" xr3:uid="{00000000-0010-0000-0500-000018000000}" name="Jaar 22" dataDxfId="302" dataCellStyle="Valuta"/>
    <tableColumn id="25" xr3:uid="{00000000-0010-0000-0500-000019000000}" name="Jaar 23" dataDxfId="301" dataCellStyle="Valuta"/>
    <tableColumn id="26" xr3:uid="{00000000-0010-0000-0500-00001A000000}" name="Jaar 24" dataDxfId="300" dataCellStyle="Valuta"/>
    <tableColumn id="27" xr3:uid="{00000000-0010-0000-0500-00001B000000}" name="Jaar 25" dataDxfId="299" dataCellStyle="Valuta"/>
    <tableColumn id="8" xr3:uid="{00000000-0010-0000-0500-000008000000}" name="Jaar 26" dataDxfId="298" dataCellStyle="Valuta"/>
    <tableColumn id="28" xr3:uid="{00000000-0010-0000-0500-00001C000000}" name="Jaar 27" dataDxfId="297" dataCellStyle="Valuta"/>
    <tableColumn id="29" xr3:uid="{00000000-0010-0000-0500-00001D000000}" name="Jaar 28" dataDxfId="296" dataCellStyle="Valuta"/>
    <tableColumn id="30" xr3:uid="{00000000-0010-0000-0500-00001E000000}" name="Jaar 29" dataDxfId="295" dataCellStyle="Valuta"/>
    <tableColumn id="31" xr3:uid="{00000000-0010-0000-0500-00001F000000}" name="Jaar 30" dataDxfId="294" dataCellStyle="Valuta"/>
    <tableColumn id="32" xr3:uid="{00000000-0010-0000-0500-000020000000}" name="Jaar 31" dataDxfId="293" dataCellStyle="Valuta"/>
    <tableColumn id="33" xr3:uid="{00000000-0010-0000-0500-000021000000}" name="Jaar 32" dataDxfId="292" dataCellStyle="Valuta"/>
    <tableColumn id="34" xr3:uid="{00000000-0010-0000-0500-000022000000}" name="Jaar 33" dataDxfId="291" dataCellStyle="Valuta"/>
    <tableColumn id="35" xr3:uid="{00000000-0010-0000-0500-000023000000}" name="Jaar 34" dataDxfId="290" dataCellStyle="Valuta"/>
    <tableColumn id="36" xr3:uid="{00000000-0010-0000-0500-000024000000}" name="Jaar 35" dataDxfId="289" dataCellStyle="Valuta"/>
    <tableColumn id="37" xr3:uid="{00000000-0010-0000-0500-000025000000}" name="Jaar 36" dataDxfId="288" dataCellStyle="Valuta"/>
    <tableColumn id="38" xr3:uid="{00000000-0010-0000-0500-000026000000}" name="Jaar 37" dataDxfId="287" dataCellStyle="Valuta"/>
    <tableColumn id="39" xr3:uid="{00000000-0010-0000-0500-000027000000}" name="Jaar 38" dataDxfId="286" dataCellStyle="Valuta"/>
    <tableColumn id="40" xr3:uid="{00000000-0010-0000-0500-000028000000}" name="Jaar 39" dataDxfId="285" dataCellStyle="Valuta"/>
    <tableColumn id="41" xr3:uid="{00000000-0010-0000-0500-000029000000}" name="Jaar 40" dataDxfId="284" dataCellStyle="Valuta"/>
    <tableColumn id="42" xr3:uid="{00000000-0010-0000-0500-00002A000000}" name="Jaar 41" dataDxfId="283" dataCellStyle="Valuta"/>
    <tableColumn id="43" xr3:uid="{00000000-0010-0000-0500-00002B000000}" name="Jaar 42" dataDxfId="282" dataCellStyle="Valuta"/>
    <tableColumn id="44" xr3:uid="{00000000-0010-0000-0500-00002C000000}" name="Jaar 43" dataDxfId="281" dataCellStyle="Valuta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el1369133" displayName="Tabel1369133" ref="B1:AS28" totalsRowShown="0" headerRowDxfId="280" dataDxfId="279">
  <autoFilter ref="B1:AS2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</autoFilter>
  <tableColumns count="44">
    <tableColumn id="1" xr3:uid="{00000000-0010-0000-0600-000001000000}" name="Exploitatiebegroting van de investeringen in Warmtepomp - monovalent LW" dataDxfId="278"/>
    <tableColumn id="2" xr3:uid="{00000000-0010-0000-0600-000002000000}" name="Jaar 1" dataDxfId="277" dataCellStyle="Valuta"/>
    <tableColumn id="3" xr3:uid="{00000000-0010-0000-0600-000003000000}" name="Jaar 2" dataDxfId="276" dataCellStyle="Valuta"/>
    <tableColumn id="4" xr3:uid="{00000000-0010-0000-0600-000004000000}" name="Jaar 3" dataDxfId="275" dataCellStyle="Valuta"/>
    <tableColumn id="5" xr3:uid="{00000000-0010-0000-0600-000005000000}" name="Jaar 4" dataDxfId="274" dataCellStyle="Valuta"/>
    <tableColumn id="6" xr3:uid="{00000000-0010-0000-0600-000006000000}" name="Jaar 5" dataDxfId="273" dataCellStyle="Valuta"/>
    <tableColumn id="7" xr3:uid="{00000000-0010-0000-0600-000007000000}" name="Jaar 6" dataDxfId="272" dataCellStyle="Valuta"/>
    <tableColumn id="9" xr3:uid="{00000000-0010-0000-0600-000009000000}" name="Jaar 7" dataDxfId="271" dataCellStyle="Valuta"/>
    <tableColumn id="10" xr3:uid="{00000000-0010-0000-0600-00000A000000}" name="Jaar 8" dataDxfId="270" dataCellStyle="Valuta"/>
    <tableColumn id="11" xr3:uid="{00000000-0010-0000-0600-00000B000000}" name="Jaar 9" dataDxfId="269" dataCellStyle="Valuta"/>
    <tableColumn id="12" xr3:uid="{00000000-0010-0000-0600-00000C000000}" name="Jaar 10" dataDxfId="268" dataCellStyle="Valuta"/>
    <tableColumn id="13" xr3:uid="{00000000-0010-0000-0600-00000D000000}" name="Jaar 11" dataDxfId="267" dataCellStyle="Valuta"/>
    <tableColumn id="14" xr3:uid="{00000000-0010-0000-0600-00000E000000}" name="Jaar 12" dataDxfId="266" dataCellStyle="Valuta"/>
    <tableColumn id="15" xr3:uid="{00000000-0010-0000-0600-00000F000000}" name="Jaar 13" dataDxfId="265" dataCellStyle="Valuta"/>
    <tableColumn id="16" xr3:uid="{00000000-0010-0000-0600-000010000000}" name="Jaar 14" dataDxfId="264" dataCellStyle="Valuta"/>
    <tableColumn id="17" xr3:uid="{00000000-0010-0000-0600-000011000000}" name="Jaar 15" dataDxfId="263" dataCellStyle="Valuta"/>
    <tableColumn id="18" xr3:uid="{00000000-0010-0000-0600-000012000000}" name="Jaar 16" dataDxfId="262" dataCellStyle="Valuta"/>
    <tableColumn id="19" xr3:uid="{00000000-0010-0000-0600-000013000000}" name="Jaar 17" dataDxfId="261" dataCellStyle="Valuta"/>
    <tableColumn id="20" xr3:uid="{00000000-0010-0000-0600-000014000000}" name="Jaar 18" dataDxfId="260" dataCellStyle="Valuta"/>
    <tableColumn id="21" xr3:uid="{00000000-0010-0000-0600-000015000000}" name="Jaar 19" dataDxfId="259" dataCellStyle="Valuta"/>
    <tableColumn id="22" xr3:uid="{00000000-0010-0000-0600-000016000000}" name="Jaar 20" dataDxfId="258" dataCellStyle="Valuta"/>
    <tableColumn id="23" xr3:uid="{00000000-0010-0000-0600-000017000000}" name="Jaar 21" dataDxfId="257" dataCellStyle="Valuta"/>
    <tableColumn id="24" xr3:uid="{00000000-0010-0000-0600-000018000000}" name="Jaar 22" dataDxfId="256" dataCellStyle="Valuta"/>
    <tableColumn id="25" xr3:uid="{00000000-0010-0000-0600-000019000000}" name="Jaar 23" dataDxfId="255" dataCellStyle="Valuta"/>
    <tableColumn id="26" xr3:uid="{00000000-0010-0000-0600-00001A000000}" name="Jaar 24" dataDxfId="254" dataCellStyle="Valuta"/>
    <tableColumn id="27" xr3:uid="{00000000-0010-0000-0600-00001B000000}" name="Jaar 25" dataDxfId="253" dataCellStyle="Valuta"/>
    <tableColumn id="8" xr3:uid="{00000000-0010-0000-0600-000008000000}" name="Jaar 26" dataDxfId="252" dataCellStyle="Valuta"/>
    <tableColumn id="28" xr3:uid="{00000000-0010-0000-0600-00001C000000}" name="Jaar 27" dataDxfId="251" dataCellStyle="Valuta"/>
    <tableColumn id="29" xr3:uid="{00000000-0010-0000-0600-00001D000000}" name="Jaar 28" dataDxfId="250" dataCellStyle="Valuta"/>
    <tableColumn id="30" xr3:uid="{00000000-0010-0000-0600-00001E000000}" name="Jaar 29" dataDxfId="249" dataCellStyle="Valuta"/>
    <tableColumn id="31" xr3:uid="{00000000-0010-0000-0600-00001F000000}" name="Jaar 30" dataDxfId="248" dataCellStyle="Valuta"/>
    <tableColumn id="32" xr3:uid="{00000000-0010-0000-0600-000020000000}" name="Jaar 31" dataDxfId="247" dataCellStyle="Valuta"/>
    <tableColumn id="33" xr3:uid="{00000000-0010-0000-0600-000021000000}" name="Jaar 32" dataDxfId="246" dataCellStyle="Valuta"/>
    <tableColumn id="34" xr3:uid="{00000000-0010-0000-0600-000022000000}" name="Jaar 33" dataDxfId="245" dataCellStyle="Valuta"/>
    <tableColumn id="35" xr3:uid="{00000000-0010-0000-0600-000023000000}" name="Jaar 34" dataDxfId="244" dataCellStyle="Valuta"/>
    <tableColumn id="36" xr3:uid="{00000000-0010-0000-0600-000024000000}" name="Jaar 35" dataDxfId="243" dataCellStyle="Valuta"/>
    <tableColumn id="37" xr3:uid="{00000000-0010-0000-0600-000025000000}" name="Jaar 36" dataDxfId="242" dataCellStyle="Valuta"/>
    <tableColumn id="38" xr3:uid="{00000000-0010-0000-0600-000026000000}" name="Jaar 37" dataDxfId="241" dataCellStyle="Valuta"/>
    <tableColumn id="39" xr3:uid="{00000000-0010-0000-0600-000027000000}" name="Jaar 38" dataDxfId="240" dataCellStyle="Valuta"/>
    <tableColumn id="40" xr3:uid="{00000000-0010-0000-0600-000028000000}" name="Jaar 39" dataDxfId="239" dataCellStyle="Valuta"/>
    <tableColumn id="41" xr3:uid="{00000000-0010-0000-0600-000029000000}" name="Jaar 40" dataDxfId="238" dataCellStyle="Valuta"/>
    <tableColumn id="42" xr3:uid="{00000000-0010-0000-0600-00002A000000}" name="Jaar 41" dataDxfId="237" dataCellStyle="Valuta"/>
    <tableColumn id="43" xr3:uid="{00000000-0010-0000-0600-00002B000000}" name="Jaar 42" dataDxfId="236" dataCellStyle="Valuta"/>
    <tableColumn id="44" xr3:uid="{00000000-0010-0000-0600-00002C000000}" name="Jaar 43" dataDxfId="235" dataCellStyle="Valuta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1369" displayName="Tabel1369" ref="B1:AS28" totalsRowShown="0" headerRowDxfId="234" dataDxfId="233">
  <autoFilter ref="B1:AS28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</autoFilter>
  <tableColumns count="44">
    <tableColumn id="1" xr3:uid="{00000000-0010-0000-0700-000001000000}" name="Exploitatiebegroting van de investeringen in Hybride Warmtepomp - LW" dataDxfId="232"/>
    <tableColumn id="2" xr3:uid="{00000000-0010-0000-0700-000002000000}" name="Jaar 1" dataDxfId="231" dataCellStyle="Valuta"/>
    <tableColumn id="3" xr3:uid="{00000000-0010-0000-0700-000003000000}" name="Jaar 2" dataDxfId="230" dataCellStyle="Valuta"/>
    <tableColumn id="4" xr3:uid="{00000000-0010-0000-0700-000004000000}" name="Jaar 3" dataDxfId="229" dataCellStyle="Valuta"/>
    <tableColumn id="5" xr3:uid="{00000000-0010-0000-0700-000005000000}" name="Jaar 4" dataDxfId="228" dataCellStyle="Valuta"/>
    <tableColumn id="6" xr3:uid="{00000000-0010-0000-0700-000006000000}" name="Jaar 5" dataDxfId="227" dataCellStyle="Valuta"/>
    <tableColumn id="7" xr3:uid="{00000000-0010-0000-0700-000007000000}" name="Jaar 6" dataDxfId="226" dataCellStyle="Valuta"/>
    <tableColumn id="9" xr3:uid="{00000000-0010-0000-0700-000009000000}" name="Jaar 7" dataDxfId="225" dataCellStyle="Valuta"/>
    <tableColumn id="10" xr3:uid="{00000000-0010-0000-0700-00000A000000}" name="Jaar 8" dataDxfId="224" dataCellStyle="Valuta"/>
    <tableColumn id="11" xr3:uid="{00000000-0010-0000-0700-00000B000000}" name="Jaar 9" dataDxfId="223" dataCellStyle="Valuta"/>
    <tableColumn id="12" xr3:uid="{00000000-0010-0000-0700-00000C000000}" name="Jaar 10" dataDxfId="222" dataCellStyle="Valuta"/>
    <tableColumn id="13" xr3:uid="{00000000-0010-0000-0700-00000D000000}" name="Jaar 11" dataDxfId="221" dataCellStyle="Valuta"/>
    <tableColumn id="14" xr3:uid="{00000000-0010-0000-0700-00000E000000}" name="Jaar 12" dataDxfId="220" dataCellStyle="Valuta"/>
    <tableColumn id="15" xr3:uid="{00000000-0010-0000-0700-00000F000000}" name="Jaar 13" dataDxfId="219" dataCellStyle="Valuta"/>
    <tableColumn id="16" xr3:uid="{00000000-0010-0000-0700-000010000000}" name="Jaar 14" dataDxfId="218" dataCellStyle="Valuta"/>
    <tableColumn id="17" xr3:uid="{00000000-0010-0000-0700-000011000000}" name="Jaar 15" dataDxfId="217" dataCellStyle="Valuta"/>
    <tableColumn id="18" xr3:uid="{00000000-0010-0000-0700-000012000000}" name="Jaar 16" dataDxfId="216" dataCellStyle="Valuta"/>
    <tableColumn id="19" xr3:uid="{00000000-0010-0000-0700-000013000000}" name="Jaar 17" dataDxfId="215" dataCellStyle="Valuta"/>
    <tableColumn id="20" xr3:uid="{00000000-0010-0000-0700-000014000000}" name="Jaar 18" dataDxfId="214" dataCellStyle="Valuta"/>
    <tableColumn id="21" xr3:uid="{00000000-0010-0000-0700-000015000000}" name="Jaar 19" dataDxfId="213" dataCellStyle="Valuta"/>
    <tableColumn id="22" xr3:uid="{00000000-0010-0000-0700-000016000000}" name="Jaar 20" dataDxfId="212" dataCellStyle="Valuta"/>
    <tableColumn id="23" xr3:uid="{00000000-0010-0000-0700-000017000000}" name="Jaar 21" dataDxfId="211" dataCellStyle="Valuta"/>
    <tableColumn id="24" xr3:uid="{00000000-0010-0000-0700-000018000000}" name="Jaar 22" dataDxfId="210" dataCellStyle="Valuta"/>
    <tableColumn id="25" xr3:uid="{00000000-0010-0000-0700-000019000000}" name="Jaar 23" dataDxfId="209" dataCellStyle="Valuta"/>
    <tableColumn id="26" xr3:uid="{00000000-0010-0000-0700-00001A000000}" name="Jaar 24" dataDxfId="208" dataCellStyle="Valuta"/>
    <tableColumn id="27" xr3:uid="{00000000-0010-0000-0700-00001B000000}" name="Jaar 25" dataDxfId="207" dataCellStyle="Valuta"/>
    <tableColumn id="8" xr3:uid="{00000000-0010-0000-0700-000008000000}" name="Jaar 26" dataDxfId="206" dataCellStyle="Valuta"/>
    <tableColumn id="28" xr3:uid="{00000000-0010-0000-0700-00001C000000}" name="Jaar 27" dataDxfId="205" dataCellStyle="Valuta"/>
    <tableColumn id="29" xr3:uid="{00000000-0010-0000-0700-00001D000000}" name="Jaar 28" dataDxfId="204" dataCellStyle="Valuta"/>
    <tableColumn id="30" xr3:uid="{00000000-0010-0000-0700-00001E000000}" name="Jaar 29" dataDxfId="203" dataCellStyle="Valuta"/>
    <tableColumn id="31" xr3:uid="{00000000-0010-0000-0700-00001F000000}" name="Jaar 30" dataDxfId="202" dataCellStyle="Valuta"/>
    <tableColumn id="32" xr3:uid="{00000000-0010-0000-0700-000020000000}" name="Jaar 31" dataDxfId="201" dataCellStyle="Valuta"/>
    <tableColumn id="33" xr3:uid="{00000000-0010-0000-0700-000021000000}" name="Jaar 32" dataDxfId="200" dataCellStyle="Valuta"/>
    <tableColumn id="34" xr3:uid="{00000000-0010-0000-0700-000022000000}" name="Jaar 33" dataDxfId="199" dataCellStyle="Valuta"/>
    <tableColumn id="35" xr3:uid="{00000000-0010-0000-0700-000023000000}" name="Jaar 34" dataDxfId="198" dataCellStyle="Valuta"/>
    <tableColumn id="36" xr3:uid="{00000000-0010-0000-0700-000024000000}" name="Jaar 35" dataDxfId="197" dataCellStyle="Valuta"/>
    <tableColumn id="37" xr3:uid="{00000000-0010-0000-0700-000025000000}" name="Jaar 36" dataDxfId="196" dataCellStyle="Valuta"/>
    <tableColumn id="38" xr3:uid="{00000000-0010-0000-0700-000026000000}" name="Jaar 37" dataDxfId="195" dataCellStyle="Valuta"/>
    <tableColumn id="39" xr3:uid="{00000000-0010-0000-0700-000027000000}" name="Jaar 38" dataDxfId="194" dataCellStyle="Valuta"/>
    <tableColumn id="40" xr3:uid="{00000000-0010-0000-0700-000028000000}" name="Jaar 39" dataDxfId="193" dataCellStyle="Valuta"/>
    <tableColumn id="41" xr3:uid="{00000000-0010-0000-0700-000029000000}" name="Jaar 40" dataDxfId="192" dataCellStyle="Valuta"/>
    <tableColumn id="42" xr3:uid="{00000000-0010-0000-0700-00002A000000}" name="Jaar 41" dataDxfId="191" dataCellStyle="Valuta"/>
    <tableColumn id="43" xr3:uid="{00000000-0010-0000-0700-00002B000000}" name="Jaar 42" dataDxfId="190" dataCellStyle="Valuta"/>
    <tableColumn id="44" xr3:uid="{00000000-0010-0000-0700-00002C000000}" name="Jaar 43" dataDxfId="189" dataCellStyle="Valuta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9000000}" name="Tabel13691345" displayName="Tabel13691345" ref="B1:AR27" totalsRowShown="0" headerRowDxfId="188" dataDxfId="187">
  <autoFilter ref="B1:AR2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900-000001000000}" name="Exploitatiebegroting van de investeringen in combi PVT met WP en boiler" dataDxfId="186"/>
    <tableColumn id="2" xr3:uid="{00000000-0010-0000-0900-000002000000}" name="Jaar 1" dataDxfId="185" dataCellStyle="Valuta"/>
    <tableColumn id="3" xr3:uid="{00000000-0010-0000-0900-000003000000}" name="Jaar 2" dataDxfId="184" dataCellStyle="Valuta"/>
    <tableColumn id="4" xr3:uid="{00000000-0010-0000-0900-000004000000}" name="Jaar 3" dataDxfId="183" dataCellStyle="Valuta"/>
    <tableColumn id="5" xr3:uid="{00000000-0010-0000-0900-000005000000}" name="Jaar 4" dataDxfId="182" dataCellStyle="Valuta"/>
    <tableColumn id="6" xr3:uid="{00000000-0010-0000-0900-000006000000}" name="Jaar 5" dataDxfId="181" dataCellStyle="Valuta"/>
    <tableColumn id="7" xr3:uid="{00000000-0010-0000-0900-000007000000}" name="Jaar 6" dataDxfId="180" dataCellStyle="Valuta"/>
    <tableColumn id="9" xr3:uid="{00000000-0010-0000-0900-000009000000}" name="Jaar 7" dataDxfId="179" dataCellStyle="Valuta"/>
    <tableColumn id="10" xr3:uid="{00000000-0010-0000-0900-00000A000000}" name="Jaar 8" dataDxfId="178" dataCellStyle="Valuta"/>
    <tableColumn id="11" xr3:uid="{00000000-0010-0000-0900-00000B000000}" name="Jaar 9" dataDxfId="177" dataCellStyle="Valuta"/>
    <tableColumn id="12" xr3:uid="{00000000-0010-0000-0900-00000C000000}" name="Jaar 10" dataDxfId="176" dataCellStyle="Valuta"/>
    <tableColumn id="13" xr3:uid="{00000000-0010-0000-0900-00000D000000}" name="Jaar 11" dataDxfId="175" dataCellStyle="Valuta"/>
    <tableColumn id="14" xr3:uid="{00000000-0010-0000-0900-00000E000000}" name="Jaar 12" dataDxfId="174" dataCellStyle="Valuta"/>
    <tableColumn id="15" xr3:uid="{00000000-0010-0000-0900-00000F000000}" name="Jaar 13" dataDxfId="173" dataCellStyle="Valuta"/>
    <tableColumn id="16" xr3:uid="{00000000-0010-0000-0900-000010000000}" name="Jaar 14" dataDxfId="172" dataCellStyle="Valuta"/>
    <tableColumn id="17" xr3:uid="{00000000-0010-0000-0900-000011000000}" name="Jaar 15" dataDxfId="171" dataCellStyle="Valuta"/>
    <tableColumn id="18" xr3:uid="{00000000-0010-0000-0900-000012000000}" name="Jaar 16" dataDxfId="170" dataCellStyle="Valuta"/>
    <tableColumn id="19" xr3:uid="{00000000-0010-0000-0900-000013000000}" name="Jaar 17" dataDxfId="169" dataCellStyle="Valuta"/>
    <tableColumn id="20" xr3:uid="{00000000-0010-0000-0900-000014000000}" name="Jaar 18" dataDxfId="168" dataCellStyle="Valuta"/>
    <tableColumn id="21" xr3:uid="{00000000-0010-0000-0900-000015000000}" name="Jaar 19" dataDxfId="167" dataCellStyle="Valuta"/>
    <tableColumn id="22" xr3:uid="{00000000-0010-0000-0900-000016000000}" name="Jaar 20" dataDxfId="166" dataCellStyle="Valuta"/>
    <tableColumn id="23" xr3:uid="{00000000-0010-0000-0900-000017000000}" name="Jaar 21" dataDxfId="165" dataCellStyle="Valuta"/>
    <tableColumn id="24" xr3:uid="{00000000-0010-0000-0900-000018000000}" name="Jaar 22" dataDxfId="164" dataCellStyle="Valuta"/>
    <tableColumn id="25" xr3:uid="{00000000-0010-0000-0900-000019000000}" name="Jaar 23" dataDxfId="163" dataCellStyle="Valuta"/>
    <tableColumn id="26" xr3:uid="{00000000-0010-0000-0900-00001A000000}" name="Jaar 24" dataDxfId="162" dataCellStyle="Valuta"/>
    <tableColumn id="27" xr3:uid="{00000000-0010-0000-0900-00001B000000}" name="Jaar 25" dataDxfId="161" dataCellStyle="Valuta"/>
    <tableColumn id="8" xr3:uid="{00000000-0010-0000-0900-000008000000}" name="Jaar 26" dataDxfId="160" dataCellStyle="Valuta"/>
    <tableColumn id="28" xr3:uid="{00000000-0010-0000-0900-00001C000000}" name="Jaar 27" dataDxfId="159" dataCellStyle="Valuta"/>
    <tableColumn id="29" xr3:uid="{00000000-0010-0000-0900-00001D000000}" name="Jaar 28" dataDxfId="158" dataCellStyle="Valuta"/>
    <tableColumn id="30" xr3:uid="{00000000-0010-0000-0900-00001E000000}" name="Jaar 29" dataDxfId="157" dataCellStyle="Valuta"/>
    <tableColumn id="31" xr3:uid="{00000000-0010-0000-0900-00001F000000}" name="Jaar 30" dataDxfId="156" dataCellStyle="Valuta"/>
    <tableColumn id="32" xr3:uid="{00000000-0010-0000-0900-000020000000}" name="Jaar 31" dataDxfId="155" dataCellStyle="Valuta"/>
    <tableColumn id="33" xr3:uid="{00000000-0010-0000-0900-000021000000}" name="Jaar 32" dataDxfId="154" dataCellStyle="Valuta"/>
    <tableColumn id="34" xr3:uid="{00000000-0010-0000-0900-000022000000}" name="Jaar 33" dataDxfId="153" dataCellStyle="Valuta"/>
    <tableColumn id="35" xr3:uid="{00000000-0010-0000-0900-000023000000}" name="Jaar 34" dataDxfId="152" dataCellStyle="Valuta"/>
    <tableColumn id="36" xr3:uid="{00000000-0010-0000-0900-000024000000}" name="Jaar 35" dataDxfId="151" dataCellStyle="Valuta"/>
    <tableColumn id="37" xr3:uid="{00000000-0010-0000-0900-000025000000}" name="Jaar 36" dataDxfId="150" dataCellStyle="Valuta"/>
    <tableColumn id="38" xr3:uid="{00000000-0010-0000-0900-000026000000}" name="Jaar 37" dataDxfId="149" dataCellStyle="Valuta"/>
    <tableColumn id="39" xr3:uid="{00000000-0010-0000-0900-000027000000}" name="Jaar 38" dataDxfId="148" dataCellStyle="Valuta"/>
    <tableColumn id="40" xr3:uid="{00000000-0010-0000-0900-000028000000}" name="Jaar 39" dataDxfId="147" dataCellStyle="Valuta"/>
    <tableColumn id="41" xr3:uid="{00000000-0010-0000-0900-000029000000}" name="Jaar 40" dataDxfId="146" dataCellStyle="Valuta"/>
    <tableColumn id="42" xr3:uid="{00000000-0010-0000-0900-00002A000000}" name="Jaar 41" dataDxfId="145" dataCellStyle="Valuta"/>
    <tableColumn id="43" xr3:uid="{00000000-0010-0000-0900-00002B000000}" name="Jaar 42" dataDxfId="144" dataCellStyle="Valut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zoomScale="70" zoomScaleNormal="70" workbookViewId="0"/>
  </sheetViews>
  <sheetFormatPr defaultRowHeight="15" x14ac:dyDescent="0.25"/>
  <cols>
    <col min="1" max="1" width="17.28515625" bestFit="1" customWidth="1"/>
    <col min="2" max="2" width="85.7109375" customWidth="1"/>
    <col min="3" max="3" width="16.140625" customWidth="1"/>
    <col min="4" max="4" width="17.7109375" customWidth="1"/>
    <col min="5" max="29" width="12.7109375" customWidth="1"/>
    <col min="30" max="30" width="10.42578125" customWidth="1"/>
  </cols>
  <sheetData>
    <row r="1" spans="1:29" x14ac:dyDescent="0.25">
      <c r="B1" s="74" t="s">
        <v>118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  <c r="O1" s="89" t="s">
        <v>237</v>
      </c>
      <c r="P1" s="89" t="s">
        <v>238</v>
      </c>
      <c r="Q1" s="89" t="s">
        <v>239</v>
      </c>
      <c r="R1" s="89" t="s">
        <v>240</v>
      </c>
      <c r="S1" s="89" t="s">
        <v>241</v>
      </c>
      <c r="T1" s="89" t="s">
        <v>242</v>
      </c>
      <c r="U1" s="89" t="s">
        <v>243</v>
      </c>
      <c r="V1" s="89" t="s">
        <v>244</v>
      </c>
      <c r="W1" s="89" t="s">
        <v>245</v>
      </c>
      <c r="X1" s="89" t="s">
        <v>246</v>
      </c>
      <c r="Y1" s="89" t="s">
        <v>247</v>
      </c>
      <c r="Z1" s="89" t="s">
        <v>248</v>
      </c>
      <c r="AA1" s="89" t="s">
        <v>249</v>
      </c>
      <c r="AB1" s="89" t="s">
        <v>250</v>
      </c>
      <c r="AC1" s="89" t="s">
        <v>251</v>
      </c>
    </row>
    <row r="2" spans="1:29" x14ac:dyDescent="0.25">
      <c r="B2" s="48" t="s">
        <v>160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</row>
    <row r="3" spans="1:29" x14ac:dyDescent="0.25">
      <c r="A3" t="s">
        <v>307</v>
      </c>
      <c r="B3" s="113">
        <v>0</v>
      </c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</row>
    <row r="4" spans="1:29" x14ac:dyDescent="0.25">
      <c r="A4" t="s">
        <v>308</v>
      </c>
      <c r="B4" s="133">
        <v>670</v>
      </c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</row>
    <row r="5" spans="1:29" x14ac:dyDescent="0.25">
      <c r="A5" t="s">
        <v>286</v>
      </c>
      <c r="B5" s="133">
        <v>0.25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5"/>
      <c r="AC5" s="5"/>
    </row>
    <row r="6" spans="1:29" x14ac:dyDescent="0.25">
      <c r="A6" t="s">
        <v>287</v>
      </c>
      <c r="B6" s="137">
        <v>0.5</v>
      </c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"/>
      <c r="AC6" s="5"/>
    </row>
    <row r="7" spans="1:29" x14ac:dyDescent="0.25">
      <c r="B7" s="92"/>
      <c r="C7" s="54"/>
      <c r="D7" s="54"/>
      <c r="E7" s="54"/>
      <c r="F7" s="54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x14ac:dyDescent="0.25">
      <c r="B8" s="150" t="s">
        <v>213</v>
      </c>
      <c r="C8" s="5">
        <f t="shared" ref="C8:AA8" si="0">$B3*$B5+$B4*$B6</f>
        <v>335</v>
      </c>
      <c r="D8" s="5">
        <f t="shared" si="0"/>
        <v>335</v>
      </c>
      <c r="E8" s="5">
        <f t="shared" si="0"/>
        <v>335</v>
      </c>
      <c r="F8" s="5">
        <f t="shared" si="0"/>
        <v>335</v>
      </c>
      <c r="G8" s="5">
        <f t="shared" si="0"/>
        <v>335</v>
      </c>
      <c r="H8" s="5">
        <f t="shared" si="0"/>
        <v>335</v>
      </c>
      <c r="I8" s="5">
        <f t="shared" si="0"/>
        <v>335</v>
      </c>
      <c r="J8" s="5">
        <f t="shared" si="0"/>
        <v>335</v>
      </c>
      <c r="K8" s="5">
        <f t="shared" si="0"/>
        <v>335</v>
      </c>
      <c r="L8" s="5">
        <f t="shared" si="0"/>
        <v>335</v>
      </c>
      <c r="M8" s="5">
        <f t="shared" si="0"/>
        <v>335</v>
      </c>
      <c r="N8" s="5">
        <f t="shared" si="0"/>
        <v>335</v>
      </c>
      <c r="O8" s="5">
        <f t="shared" si="0"/>
        <v>335</v>
      </c>
      <c r="P8" s="5">
        <f t="shared" si="0"/>
        <v>335</v>
      </c>
      <c r="Q8" s="5">
        <f t="shared" si="0"/>
        <v>335</v>
      </c>
      <c r="R8" s="5">
        <f t="shared" si="0"/>
        <v>335</v>
      </c>
      <c r="S8" s="5">
        <f t="shared" si="0"/>
        <v>335</v>
      </c>
      <c r="T8" s="5">
        <f t="shared" si="0"/>
        <v>335</v>
      </c>
      <c r="U8" s="5">
        <f t="shared" si="0"/>
        <v>335</v>
      </c>
      <c r="V8" s="5">
        <f t="shared" si="0"/>
        <v>335</v>
      </c>
      <c r="W8" s="5">
        <f t="shared" si="0"/>
        <v>335</v>
      </c>
      <c r="X8" s="5">
        <f t="shared" si="0"/>
        <v>335</v>
      </c>
      <c r="Y8" s="5">
        <f t="shared" si="0"/>
        <v>335</v>
      </c>
      <c r="Z8" s="5">
        <f t="shared" si="0"/>
        <v>335</v>
      </c>
      <c r="AA8" s="5">
        <f t="shared" si="0"/>
        <v>335</v>
      </c>
      <c r="AB8" s="5"/>
      <c r="AC8" s="5"/>
    </row>
    <row r="9" spans="1:29" ht="30" x14ac:dyDescent="0.25">
      <c r="B9" s="55" t="s">
        <v>26</v>
      </c>
      <c r="C9" s="6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5"/>
      <c r="AC9" s="5"/>
    </row>
    <row r="10" spans="1:29" x14ac:dyDescent="0.25">
      <c r="B10" t="s">
        <v>22</v>
      </c>
      <c r="C10" s="6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5"/>
      <c r="AC10" s="5"/>
    </row>
    <row r="11" spans="1:29" ht="30" x14ac:dyDescent="0.25">
      <c r="B11" s="55" t="s">
        <v>25</v>
      </c>
      <c r="C11" s="6"/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5"/>
      <c r="AC11" s="5"/>
    </row>
    <row r="12" spans="1:29" x14ac:dyDescent="0.25">
      <c r="B12" t="s">
        <v>19</v>
      </c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5"/>
      <c r="AC12" s="5"/>
    </row>
    <row r="13" spans="1:29" x14ac:dyDescent="0.25">
      <c r="B13" t="s">
        <v>21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5"/>
      <c r="AC13" s="5"/>
    </row>
    <row r="14" spans="1:29" x14ac:dyDescent="0.25">
      <c r="B14" s="1" t="s">
        <v>1</v>
      </c>
      <c r="C14" s="5">
        <f>C8-SUM(C9:C13)</f>
        <v>335</v>
      </c>
      <c r="D14" s="5">
        <f>D8-SUM(D9:D13)</f>
        <v>335</v>
      </c>
      <c r="E14" s="5">
        <f>E8-SUM(E9:E13)</f>
        <v>335</v>
      </c>
      <c r="F14" s="5">
        <f>F8-SUM(F9:F13)</f>
        <v>335</v>
      </c>
      <c r="G14" s="5">
        <f>G8-SUM(G9:G13)</f>
        <v>335</v>
      </c>
      <c r="H14" s="5">
        <f t="shared" ref="H14:AA14" si="1">H8-SUM(H9:H13)</f>
        <v>335</v>
      </c>
      <c r="I14" s="5">
        <f t="shared" si="1"/>
        <v>335</v>
      </c>
      <c r="J14" s="5">
        <f t="shared" si="1"/>
        <v>335</v>
      </c>
      <c r="K14" s="5">
        <f t="shared" si="1"/>
        <v>335</v>
      </c>
      <c r="L14" s="5">
        <f t="shared" si="1"/>
        <v>335</v>
      </c>
      <c r="M14" s="5">
        <f t="shared" si="1"/>
        <v>335</v>
      </c>
      <c r="N14" s="5">
        <f t="shared" si="1"/>
        <v>335</v>
      </c>
      <c r="O14" s="5">
        <f t="shared" si="1"/>
        <v>335</v>
      </c>
      <c r="P14" s="5">
        <f t="shared" si="1"/>
        <v>335</v>
      </c>
      <c r="Q14" s="5">
        <f t="shared" si="1"/>
        <v>335</v>
      </c>
      <c r="R14" s="5">
        <f t="shared" si="1"/>
        <v>335</v>
      </c>
      <c r="S14" s="5">
        <f t="shared" si="1"/>
        <v>335</v>
      </c>
      <c r="T14" s="5">
        <f t="shared" si="1"/>
        <v>335</v>
      </c>
      <c r="U14" s="5">
        <f t="shared" si="1"/>
        <v>335</v>
      </c>
      <c r="V14" s="5">
        <f t="shared" si="1"/>
        <v>335</v>
      </c>
      <c r="W14" s="5">
        <f t="shared" si="1"/>
        <v>335</v>
      </c>
      <c r="X14" s="5">
        <f t="shared" si="1"/>
        <v>335</v>
      </c>
      <c r="Y14" s="5">
        <f t="shared" si="1"/>
        <v>335</v>
      </c>
      <c r="Z14" s="5">
        <f t="shared" si="1"/>
        <v>335</v>
      </c>
      <c r="AA14" s="5">
        <f t="shared" si="1"/>
        <v>335</v>
      </c>
      <c r="AB14" s="5"/>
      <c r="AC14" s="5"/>
    </row>
    <row r="15" spans="1:29" ht="30" x14ac:dyDescent="0.25">
      <c r="B15" s="55" t="s">
        <v>16</v>
      </c>
      <c r="C15" s="6">
        <f>$C29/25</f>
        <v>100</v>
      </c>
      <c r="D15" s="6">
        <f>$C29/25</f>
        <v>100</v>
      </c>
      <c r="E15" s="6">
        <f t="shared" ref="E15:AA15" si="2">$C29/25</f>
        <v>100</v>
      </c>
      <c r="F15" s="6">
        <f t="shared" si="2"/>
        <v>100</v>
      </c>
      <c r="G15" s="6">
        <f t="shared" si="2"/>
        <v>100</v>
      </c>
      <c r="H15" s="6">
        <f t="shared" si="2"/>
        <v>100</v>
      </c>
      <c r="I15" s="6">
        <f t="shared" si="2"/>
        <v>100</v>
      </c>
      <c r="J15" s="6">
        <f t="shared" si="2"/>
        <v>100</v>
      </c>
      <c r="K15" s="6">
        <f t="shared" si="2"/>
        <v>100</v>
      </c>
      <c r="L15" s="6">
        <f t="shared" si="2"/>
        <v>100</v>
      </c>
      <c r="M15" s="6">
        <f t="shared" si="2"/>
        <v>100</v>
      </c>
      <c r="N15" s="6">
        <f t="shared" si="2"/>
        <v>100</v>
      </c>
      <c r="O15" s="6">
        <f t="shared" si="2"/>
        <v>100</v>
      </c>
      <c r="P15" s="6">
        <f t="shared" si="2"/>
        <v>100</v>
      </c>
      <c r="Q15" s="6">
        <f t="shared" si="2"/>
        <v>100</v>
      </c>
      <c r="R15" s="6">
        <f t="shared" si="2"/>
        <v>100</v>
      </c>
      <c r="S15" s="6">
        <f t="shared" si="2"/>
        <v>100</v>
      </c>
      <c r="T15" s="6">
        <f t="shared" si="2"/>
        <v>100</v>
      </c>
      <c r="U15" s="6">
        <f t="shared" si="2"/>
        <v>100</v>
      </c>
      <c r="V15" s="6">
        <f t="shared" si="2"/>
        <v>100</v>
      </c>
      <c r="W15" s="6">
        <f t="shared" si="2"/>
        <v>100</v>
      </c>
      <c r="X15" s="6">
        <f t="shared" si="2"/>
        <v>100</v>
      </c>
      <c r="Y15" s="6">
        <f t="shared" si="2"/>
        <v>100</v>
      </c>
      <c r="Z15" s="6">
        <f t="shared" si="2"/>
        <v>100</v>
      </c>
      <c r="AA15" s="6">
        <f t="shared" si="2"/>
        <v>100</v>
      </c>
      <c r="AB15" s="5"/>
      <c r="AC15" s="5"/>
    </row>
    <row r="16" spans="1:29" x14ac:dyDescent="0.25">
      <c r="B16" s="1" t="s">
        <v>2</v>
      </c>
      <c r="C16" s="5">
        <f t="shared" ref="C16:AA16" si="3">C14-C15</f>
        <v>235</v>
      </c>
      <c r="D16" s="5">
        <f t="shared" si="3"/>
        <v>235</v>
      </c>
      <c r="E16" s="5">
        <f t="shared" si="3"/>
        <v>235</v>
      </c>
      <c r="F16" s="5">
        <f t="shared" si="3"/>
        <v>235</v>
      </c>
      <c r="G16" s="5">
        <f t="shared" si="3"/>
        <v>235</v>
      </c>
      <c r="H16" s="5">
        <f t="shared" si="3"/>
        <v>235</v>
      </c>
      <c r="I16" s="5">
        <f t="shared" si="3"/>
        <v>235</v>
      </c>
      <c r="J16" s="5">
        <f t="shared" si="3"/>
        <v>235</v>
      </c>
      <c r="K16" s="5">
        <f t="shared" si="3"/>
        <v>235</v>
      </c>
      <c r="L16" s="5">
        <f t="shared" si="3"/>
        <v>235</v>
      </c>
      <c r="M16" s="5">
        <f t="shared" si="3"/>
        <v>235</v>
      </c>
      <c r="N16" s="5">
        <f t="shared" si="3"/>
        <v>235</v>
      </c>
      <c r="O16" s="5">
        <f t="shared" si="3"/>
        <v>235</v>
      </c>
      <c r="P16" s="5">
        <f t="shared" si="3"/>
        <v>235</v>
      </c>
      <c r="Q16" s="5">
        <f t="shared" si="3"/>
        <v>235</v>
      </c>
      <c r="R16" s="5">
        <f t="shared" si="3"/>
        <v>235</v>
      </c>
      <c r="S16" s="5">
        <f t="shared" si="3"/>
        <v>235</v>
      </c>
      <c r="T16" s="5">
        <f t="shared" si="3"/>
        <v>235</v>
      </c>
      <c r="U16" s="5">
        <f t="shared" si="3"/>
        <v>235</v>
      </c>
      <c r="V16" s="5">
        <f t="shared" si="3"/>
        <v>235</v>
      </c>
      <c r="W16" s="5">
        <f t="shared" si="3"/>
        <v>235</v>
      </c>
      <c r="X16" s="5">
        <f t="shared" si="3"/>
        <v>235</v>
      </c>
      <c r="Y16" s="5">
        <f t="shared" si="3"/>
        <v>235</v>
      </c>
      <c r="Z16" s="5">
        <f t="shared" si="3"/>
        <v>235</v>
      </c>
      <c r="AA16" s="5">
        <f t="shared" si="3"/>
        <v>235</v>
      </c>
      <c r="AB16" s="5"/>
      <c r="AC16" s="5"/>
    </row>
    <row r="17" spans="2:29" x14ac:dyDescent="0.25">
      <c r="B17" t="s">
        <v>23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5"/>
      <c r="AC17" s="5"/>
    </row>
    <row r="18" spans="2:29" x14ac:dyDescent="0.25">
      <c r="B18" s="1" t="s">
        <v>3</v>
      </c>
      <c r="C18" s="5">
        <f t="shared" ref="C18:AA18" si="4">C16-C17</f>
        <v>235</v>
      </c>
      <c r="D18" s="5">
        <f t="shared" si="4"/>
        <v>235</v>
      </c>
      <c r="E18" s="5">
        <f t="shared" si="4"/>
        <v>235</v>
      </c>
      <c r="F18" s="5">
        <f t="shared" si="4"/>
        <v>235</v>
      </c>
      <c r="G18" s="5">
        <f t="shared" si="4"/>
        <v>235</v>
      </c>
      <c r="H18" s="5">
        <f t="shared" si="4"/>
        <v>235</v>
      </c>
      <c r="I18" s="5">
        <f t="shared" si="4"/>
        <v>235</v>
      </c>
      <c r="J18" s="5">
        <f t="shared" si="4"/>
        <v>235</v>
      </c>
      <c r="K18" s="5">
        <f t="shared" si="4"/>
        <v>235</v>
      </c>
      <c r="L18" s="5">
        <f t="shared" si="4"/>
        <v>235</v>
      </c>
      <c r="M18" s="5">
        <f t="shared" si="4"/>
        <v>235</v>
      </c>
      <c r="N18" s="5">
        <f t="shared" si="4"/>
        <v>235</v>
      </c>
      <c r="O18" s="5">
        <f t="shared" si="4"/>
        <v>235</v>
      </c>
      <c r="P18" s="5">
        <f t="shared" si="4"/>
        <v>235</v>
      </c>
      <c r="Q18" s="5">
        <f t="shared" si="4"/>
        <v>235</v>
      </c>
      <c r="R18" s="5">
        <f t="shared" si="4"/>
        <v>235</v>
      </c>
      <c r="S18" s="5">
        <f t="shared" si="4"/>
        <v>235</v>
      </c>
      <c r="T18" s="5">
        <f t="shared" si="4"/>
        <v>235</v>
      </c>
      <c r="U18" s="5">
        <f t="shared" si="4"/>
        <v>235</v>
      </c>
      <c r="V18" s="5">
        <f t="shared" si="4"/>
        <v>235</v>
      </c>
      <c r="W18" s="5">
        <f t="shared" si="4"/>
        <v>235</v>
      </c>
      <c r="X18" s="5">
        <f t="shared" si="4"/>
        <v>235</v>
      </c>
      <c r="Y18" s="5">
        <f t="shared" si="4"/>
        <v>235</v>
      </c>
      <c r="Z18" s="5">
        <f t="shared" si="4"/>
        <v>235</v>
      </c>
      <c r="AA18" s="5">
        <f t="shared" si="4"/>
        <v>235</v>
      </c>
      <c r="AB18" s="5"/>
      <c r="AC18" s="5"/>
    </row>
    <row r="19" spans="2:29" x14ac:dyDescent="0.25">
      <c r="B19" t="s">
        <v>20</v>
      </c>
      <c r="C19" s="6">
        <f t="shared" ref="C19:AA19" si="5">0.25*C18</f>
        <v>58.75</v>
      </c>
      <c r="D19" s="6">
        <f t="shared" si="5"/>
        <v>58.75</v>
      </c>
      <c r="E19" s="6">
        <f t="shared" si="5"/>
        <v>58.75</v>
      </c>
      <c r="F19" s="6">
        <f t="shared" si="5"/>
        <v>58.75</v>
      </c>
      <c r="G19" s="6">
        <f t="shared" si="5"/>
        <v>58.75</v>
      </c>
      <c r="H19" s="6">
        <f t="shared" si="5"/>
        <v>58.75</v>
      </c>
      <c r="I19" s="6">
        <f t="shared" si="5"/>
        <v>58.75</v>
      </c>
      <c r="J19" s="6">
        <f t="shared" si="5"/>
        <v>58.75</v>
      </c>
      <c r="K19" s="6">
        <f t="shared" si="5"/>
        <v>58.75</v>
      </c>
      <c r="L19" s="6">
        <f t="shared" si="5"/>
        <v>58.75</v>
      </c>
      <c r="M19" s="6">
        <f t="shared" si="5"/>
        <v>58.75</v>
      </c>
      <c r="N19" s="6">
        <f t="shared" si="5"/>
        <v>58.75</v>
      </c>
      <c r="O19" s="6">
        <f t="shared" si="5"/>
        <v>58.75</v>
      </c>
      <c r="P19" s="6">
        <f t="shared" si="5"/>
        <v>58.75</v>
      </c>
      <c r="Q19" s="6">
        <f t="shared" si="5"/>
        <v>58.75</v>
      </c>
      <c r="R19" s="6">
        <f t="shared" si="5"/>
        <v>58.75</v>
      </c>
      <c r="S19" s="6">
        <f t="shared" si="5"/>
        <v>58.75</v>
      </c>
      <c r="T19" s="6">
        <f t="shared" si="5"/>
        <v>58.75</v>
      </c>
      <c r="U19" s="6">
        <f t="shared" si="5"/>
        <v>58.75</v>
      </c>
      <c r="V19" s="6">
        <f t="shared" si="5"/>
        <v>58.75</v>
      </c>
      <c r="W19" s="6">
        <f t="shared" si="5"/>
        <v>58.75</v>
      </c>
      <c r="X19" s="6">
        <f t="shared" si="5"/>
        <v>58.75</v>
      </c>
      <c r="Y19" s="6">
        <f t="shared" si="5"/>
        <v>58.75</v>
      </c>
      <c r="Z19" s="6">
        <f t="shared" si="5"/>
        <v>58.75</v>
      </c>
      <c r="AA19" s="6">
        <f t="shared" si="5"/>
        <v>58.75</v>
      </c>
      <c r="AB19" s="5"/>
      <c r="AC19" s="5"/>
    </row>
    <row r="20" spans="2:29" x14ac:dyDescent="0.25">
      <c r="B20" s="1" t="s">
        <v>4</v>
      </c>
      <c r="C20" s="5">
        <f t="shared" ref="C20:AA20" si="6">C18-C19</f>
        <v>176.25</v>
      </c>
      <c r="D20" s="5">
        <f t="shared" si="6"/>
        <v>176.25</v>
      </c>
      <c r="E20" s="5">
        <f t="shared" si="6"/>
        <v>176.25</v>
      </c>
      <c r="F20" s="5">
        <f t="shared" si="6"/>
        <v>176.25</v>
      </c>
      <c r="G20" s="5">
        <f t="shared" si="6"/>
        <v>176.25</v>
      </c>
      <c r="H20" s="5">
        <f t="shared" si="6"/>
        <v>176.25</v>
      </c>
      <c r="I20" s="5">
        <f t="shared" si="6"/>
        <v>176.25</v>
      </c>
      <c r="J20" s="5">
        <f t="shared" si="6"/>
        <v>176.25</v>
      </c>
      <c r="K20" s="5">
        <f t="shared" si="6"/>
        <v>176.25</v>
      </c>
      <c r="L20" s="5">
        <f t="shared" si="6"/>
        <v>176.25</v>
      </c>
      <c r="M20" s="5">
        <f t="shared" si="6"/>
        <v>176.25</v>
      </c>
      <c r="N20" s="5">
        <f t="shared" si="6"/>
        <v>176.25</v>
      </c>
      <c r="O20" s="5">
        <f t="shared" si="6"/>
        <v>176.25</v>
      </c>
      <c r="P20" s="5">
        <f t="shared" si="6"/>
        <v>176.25</v>
      </c>
      <c r="Q20" s="5">
        <f t="shared" si="6"/>
        <v>176.25</v>
      </c>
      <c r="R20" s="5">
        <f t="shared" si="6"/>
        <v>176.25</v>
      </c>
      <c r="S20" s="5">
        <f t="shared" si="6"/>
        <v>176.25</v>
      </c>
      <c r="T20" s="5">
        <f t="shared" si="6"/>
        <v>176.25</v>
      </c>
      <c r="U20" s="5">
        <f t="shared" si="6"/>
        <v>176.25</v>
      </c>
      <c r="V20" s="5">
        <f t="shared" si="6"/>
        <v>176.25</v>
      </c>
      <c r="W20" s="5">
        <f t="shared" si="6"/>
        <v>176.25</v>
      </c>
      <c r="X20" s="5">
        <f t="shared" si="6"/>
        <v>176.25</v>
      </c>
      <c r="Y20" s="5">
        <f t="shared" si="6"/>
        <v>176.25</v>
      </c>
      <c r="Z20" s="5">
        <f t="shared" si="6"/>
        <v>176.25</v>
      </c>
      <c r="AA20" s="5">
        <f t="shared" si="6"/>
        <v>176.25</v>
      </c>
      <c r="AB20" s="5"/>
      <c r="AC20" s="5"/>
    </row>
    <row r="21" spans="2:29" x14ac:dyDescent="0.25">
      <c r="B21" s="2" t="s">
        <v>24</v>
      </c>
      <c r="C21" s="6">
        <f>C15</f>
        <v>100</v>
      </c>
      <c r="D21" s="6">
        <f>D15</f>
        <v>100</v>
      </c>
      <c r="E21" s="6">
        <f>E15</f>
        <v>100</v>
      </c>
      <c r="F21" s="6">
        <f>F15</f>
        <v>100</v>
      </c>
      <c r="G21" s="6">
        <f>G15</f>
        <v>100</v>
      </c>
      <c r="H21" s="6">
        <f t="shared" ref="H21:AA21" si="7">H15</f>
        <v>100</v>
      </c>
      <c r="I21" s="6">
        <f t="shared" si="7"/>
        <v>100</v>
      </c>
      <c r="J21" s="6">
        <f t="shared" si="7"/>
        <v>100</v>
      </c>
      <c r="K21" s="6">
        <f t="shared" si="7"/>
        <v>100</v>
      </c>
      <c r="L21" s="6">
        <f t="shared" si="7"/>
        <v>100</v>
      </c>
      <c r="M21" s="6">
        <f t="shared" si="7"/>
        <v>100</v>
      </c>
      <c r="N21" s="6">
        <f t="shared" si="7"/>
        <v>100</v>
      </c>
      <c r="O21" s="6">
        <f t="shared" si="7"/>
        <v>100</v>
      </c>
      <c r="P21" s="6">
        <f t="shared" si="7"/>
        <v>100</v>
      </c>
      <c r="Q21" s="6">
        <f t="shared" si="7"/>
        <v>100</v>
      </c>
      <c r="R21" s="6">
        <f t="shared" si="7"/>
        <v>100</v>
      </c>
      <c r="S21" s="6">
        <f t="shared" si="7"/>
        <v>100</v>
      </c>
      <c r="T21" s="6">
        <f t="shared" si="7"/>
        <v>100</v>
      </c>
      <c r="U21" s="6">
        <f t="shared" si="7"/>
        <v>100</v>
      </c>
      <c r="V21" s="6">
        <f t="shared" si="7"/>
        <v>100</v>
      </c>
      <c r="W21" s="6">
        <f t="shared" si="7"/>
        <v>100</v>
      </c>
      <c r="X21" s="6">
        <f t="shared" si="7"/>
        <v>100</v>
      </c>
      <c r="Y21" s="6">
        <f t="shared" si="7"/>
        <v>100</v>
      </c>
      <c r="Z21" s="6">
        <f t="shared" si="7"/>
        <v>100</v>
      </c>
      <c r="AA21" s="6">
        <f t="shared" si="7"/>
        <v>100</v>
      </c>
      <c r="AB21" s="5"/>
      <c r="AC21" s="5"/>
    </row>
    <row r="22" spans="2:29" x14ac:dyDescent="0.25">
      <c r="B22" s="2" t="s">
        <v>45</v>
      </c>
      <c r="C22" s="93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5"/>
      <c r="AB22" s="5"/>
      <c r="AC22" s="5"/>
    </row>
    <row r="23" spans="2:29" ht="30" x14ac:dyDescent="0.25">
      <c r="B23" s="57" t="s">
        <v>114</v>
      </c>
      <c r="C23" s="12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5"/>
      <c r="AC23" s="5"/>
    </row>
    <row r="24" spans="2:29" x14ac:dyDescent="0.25">
      <c r="B24" s="2" t="s">
        <v>33</v>
      </c>
      <c r="C24" s="12">
        <f>C29*0.5</f>
        <v>1250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5"/>
      <c r="AC24" s="5"/>
    </row>
    <row r="25" spans="2:29" x14ac:dyDescent="0.25">
      <c r="B25" s="1" t="s">
        <v>5</v>
      </c>
      <c r="C25" s="5">
        <f t="shared" ref="C25:H25" si="8">C20+SUM(C21:C24)</f>
        <v>1526.25</v>
      </c>
      <c r="D25" s="5">
        <f t="shared" si="8"/>
        <v>276.25</v>
      </c>
      <c r="E25" s="5">
        <f t="shared" si="8"/>
        <v>276.25</v>
      </c>
      <c r="F25" s="5">
        <f t="shared" si="8"/>
        <v>276.25</v>
      </c>
      <c r="G25" s="5">
        <f t="shared" si="8"/>
        <v>276.25</v>
      </c>
      <c r="H25" s="5">
        <f t="shared" si="8"/>
        <v>276.25</v>
      </c>
      <c r="I25" s="5">
        <f t="shared" ref="I25:AA25" si="9">I20+SUM(I21:I24)</f>
        <v>276.25</v>
      </c>
      <c r="J25" s="5">
        <f t="shared" si="9"/>
        <v>276.25</v>
      </c>
      <c r="K25" s="5">
        <f t="shared" si="9"/>
        <v>276.25</v>
      </c>
      <c r="L25" s="5">
        <f t="shared" si="9"/>
        <v>276.25</v>
      </c>
      <c r="M25" s="5">
        <f t="shared" si="9"/>
        <v>276.25</v>
      </c>
      <c r="N25" s="5">
        <f t="shared" si="9"/>
        <v>276.25</v>
      </c>
      <c r="O25" s="5">
        <f t="shared" si="9"/>
        <v>276.25</v>
      </c>
      <c r="P25" s="5">
        <f t="shared" si="9"/>
        <v>276.25</v>
      </c>
      <c r="Q25" s="5">
        <f t="shared" si="9"/>
        <v>276.25</v>
      </c>
      <c r="R25" s="5">
        <f t="shared" si="9"/>
        <v>276.25</v>
      </c>
      <c r="S25" s="5">
        <f t="shared" si="9"/>
        <v>276.25</v>
      </c>
      <c r="T25" s="5">
        <f t="shared" si="9"/>
        <v>276.25</v>
      </c>
      <c r="U25" s="5">
        <f t="shared" si="9"/>
        <v>276.25</v>
      </c>
      <c r="V25" s="5">
        <f t="shared" si="9"/>
        <v>276.25</v>
      </c>
      <c r="W25" s="5">
        <f t="shared" si="9"/>
        <v>276.25</v>
      </c>
      <c r="X25" s="5">
        <f t="shared" si="9"/>
        <v>276.25</v>
      </c>
      <c r="Y25" s="5">
        <f t="shared" si="9"/>
        <v>276.25</v>
      </c>
      <c r="Z25" s="5">
        <f t="shared" si="9"/>
        <v>276.25</v>
      </c>
      <c r="AA25" s="5">
        <f t="shared" si="9"/>
        <v>276.25</v>
      </c>
      <c r="AB25" s="5"/>
      <c r="AC25" s="5"/>
    </row>
    <row r="26" spans="2:29" x14ac:dyDescent="0.25"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2:29" x14ac:dyDescent="0.25">
      <c r="B27" s="21" t="s">
        <v>27</v>
      </c>
      <c r="C27" s="21"/>
      <c r="D27" s="21" t="s">
        <v>44</v>
      </c>
      <c r="E27" s="90" t="s">
        <v>0</v>
      </c>
      <c r="F27" s="90" t="s">
        <v>226</v>
      </c>
      <c r="G27" s="90" t="s">
        <v>227</v>
      </c>
      <c r="H27" s="90" t="s">
        <v>228</v>
      </c>
      <c r="I27" s="90" t="s">
        <v>229</v>
      </c>
      <c r="J27" s="90" t="s">
        <v>230</v>
      </c>
      <c r="K27" s="90" t="s">
        <v>231</v>
      </c>
      <c r="L27" s="90" t="s">
        <v>232</v>
      </c>
      <c r="M27" s="90" t="s">
        <v>233</v>
      </c>
      <c r="N27" s="90" t="s">
        <v>234</v>
      </c>
      <c r="O27" s="90" t="s">
        <v>235</v>
      </c>
      <c r="P27" s="90" t="s">
        <v>236</v>
      </c>
      <c r="Q27" s="90" t="s">
        <v>237</v>
      </c>
      <c r="R27" s="90" t="s">
        <v>238</v>
      </c>
      <c r="S27" s="90" t="s">
        <v>239</v>
      </c>
      <c r="T27" s="90" t="s">
        <v>240</v>
      </c>
      <c r="U27" s="90" t="s">
        <v>241</v>
      </c>
      <c r="V27" s="90" t="s">
        <v>242</v>
      </c>
      <c r="W27" s="90" t="s">
        <v>243</v>
      </c>
      <c r="X27" s="90" t="s">
        <v>244</v>
      </c>
      <c r="Y27" s="90" t="s">
        <v>245</v>
      </c>
      <c r="Z27" s="90" t="s">
        <v>246</v>
      </c>
      <c r="AA27" s="90" t="s">
        <v>247</v>
      </c>
      <c r="AB27" s="90" t="s">
        <v>248</v>
      </c>
      <c r="AC27" s="90" t="s">
        <v>249</v>
      </c>
    </row>
    <row r="28" spans="2:29" x14ac:dyDescent="0.25">
      <c r="B28" s="7" t="s">
        <v>7</v>
      </c>
      <c r="C28" s="8">
        <f>SUM(C25:AA25)</f>
        <v>8156.25</v>
      </c>
      <c r="D28" s="93" t="s">
        <v>29</v>
      </c>
      <c r="E28" s="10">
        <f>C25-C29</f>
        <v>-973.75</v>
      </c>
      <c r="F28" s="10">
        <f>E28+D25</f>
        <v>-697.5</v>
      </c>
      <c r="G28" s="10">
        <f t="shared" ref="G28:Y28" si="10">F28+E25</f>
        <v>-421.25</v>
      </c>
      <c r="H28" s="10">
        <f t="shared" si="10"/>
        <v>-145</v>
      </c>
      <c r="I28" s="10">
        <f t="shared" si="10"/>
        <v>131.25</v>
      </c>
      <c r="J28" s="10">
        <f t="shared" si="10"/>
        <v>407.5</v>
      </c>
      <c r="K28" s="10">
        <f t="shared" si="10"/>
        <v>683.75</v>
      </c>
      <c r="L28" s="10">
        <f t="shared" si="10"/>
        <v>960</v>
      </c>
      <c r="M28" s="10">
        <f t="shared" si="10"/>
        <v>1236.25</v>
      </c>
      <c r="N28" s="10">
        <f t="shared" si="10"/>
        <v>1512.5</v>
      </c>
      <c r="O28" s="10">
        <f t="shared" si="10"/>
        <v>1788.75</v>
      </c>
      <c r="P28" s="10">
        <f t="shared" si="10"/>
        <v>2065</v>
      </c>
      <c r="Q28" s="10">
        <f t="shared" si="10"/>
        <v>2341.25</v>
      </c>
      <c r="R28" s="10">
        <f t="shared" si="10"/>
        <v>2617.5</v>
      </c>
      <c r="S28" s="10">
        <f t="shared" si="10"/>
        <v>2893.75</v>
      </c>
      <c r="T28" s="10">
        <f t="shared" si="10"/>
        <v>3170</v>
      </c>
      <c r="U28" s="10">
        <f t="shared" si="10"/>
        <v>3446.25</v>
      </c>
      <c r="V28" s="10">
        <f t="shared" si="10"/>
        <v>3722.5</v>
      </c>
      <c r="W28" s="10">
        <f t="shared" si="10"/>
        <v>3998.75</v>
      </c>
      <c r="X28" s="10">
        <f t="shared" si="10"/>
        <v>4275</v>
      </c>
      <c r="Y28" s="10">
        <f t="shared" si="10"/>
        <v>4551.25</v>
      </c>
      <c r="Z28" s="10">
        <f t="shared" ref="Z28" si="11">Y28+X25</f>
        <v>4827.5</v>
      </c>
      <c r="AA28" s="10">
        <f t="shared" ref="AA28" si="12">Z28+Y25</f>
        <v>5103.75</v>
      </c>
      <c r="AB28" s="10">
        <f t="shared" ref="AB28" si="13">AA28+Z25</f>
        <v>5380</v>
      </c>
      <c r="AC28" s="10">
        <f t="shared" ref="AC28" si="14">AB28+AA25</f>
        <v>5656.25</v>
      </c>
    </row>
    <row r="29" spans="2:29" x14ac:dyDescent="0.25">
      <c r="B29" s="7" t="s">
        <v>32</v>
      </c>
      <c r="C29" s="8">
        <v>2500</v>
      </c>
      <c r="D29" s="5"/>
      <c r="G29" t="s">
        <v>51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29" x14ac:dyDescent="0.25">
      <c r="B30" s="7" t="s">
        <v>18</v>
      </c>
      <c r="C30" s="8"/>
      <c r="D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9" x14ac:dyDescent="0.25">
      <c r="B31" s="7" t="s">
        <v>8</v>
      </c>
      <c r="C31" s="8">
        <f>C28-C29</f>
        <v>5656.25</v>
      </c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x14ac:dyDescent="0.25">
      <c r="B32" s="29" t="s">
        <v>10</v>
      </c>
      <c r="C32" s="15">
        <f>C31/C29*100%</f>
        <v>2.2625000000000002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9" x14ac:dyDescent="0.25">
      <c r="B33" s="19"/>
      <c r="C33" s="2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9" x14ac:dyDescent="0.25">
      <c r="B34" t="s">
        <v>31</v>
      </c>
      <c r="C34" s="4">
        <v>0.05</v>
      </c>
      <c r="D34" s="6"/>
      <c r="E34" s="6"/>
    </row>
    <row r="35" spans="2:29" x14ac:dyDescent="0.25">
      <c r="B35" s="1" t="s">
        <v>6</v>
      </c>
      <c r="C35" s="5">
        <f>C25/(1+$C34)</f>
        <v>1453.5714285714284</v>
      </c>
      <c r="D35" s="5">
        <f>D25/(1+$C34)^2</f>
        <v>250.56689342403627</v>
      </c>
      <c r="E35" s="5">
        <f>E25/(1+$C34)^3</f>
        <v>238.63513659432024</v>
      </c>
      <c r="F35" s="5">
        <f>F25/(1+$C34)^4</f>
        <v>227.27155866125739</v>
      </c>
      <c r="G35" s="5">
        <f>G25/(1+$C34)^5</f>
        <v>216.44910348691178</v>
      </c>
      <c r="H35" s="5">
        <f>H25/(1+$C34)^6</f>
        <v>206.14200332086838</v>
      </c>
      <c r="I35" s="5">
        <f>I25/(1+$C34)^7</f>
        <v>196.32571744844606</v>
      </c>
      <c r="J35" s="5">
        <f>J25/(1+$C34)^8</f>
        <v>186.97687376042484</v>
      </c>
      <c r="K35" s="5">
        <f>K25/(1+$C34)^9</f>
        <v>178.0732131051665</v>
      </c>
      <c r="L35" s="5">
        <f>L25/(1+$C34)^10</f>
        <v>169.59353629063477</v>
      </c>
      <c r="M35" s="5">
        <f>M25/(1+$C34)^11</f>
        <v>161.51765361012832</v>
      </c>
      <c r="N35" s="5">
        <f>N25/(1+$C34)^12</f>
        <v>153.82633677155081</v>
      </c>
      <c r="O35" s="5">
        <f>O25/(1+$C34)^13</f>
        <v>146.50127311576264</v>
      </c>
      <c r="P35" s="5">
        <f>P25/(1+$C34)^14</f>
        <v>139.52502201501207</v>
      </c>
      <c r="Q35" s="5">
        <f>Q25/(1+$C34)^15</f>
        <v>132.88097334763052</v>
      </c>
      <c r="R35" s="5">
        <f>R25/(1+$C34)^16</f>
        <v>126.55330795012431</v>
      </c>
      <c r="S35" s="5">
        <f>S25/(1+$C34)^17</f>
        <v>120.52695995249933</v>
      </c>
      <c r="T35" s="5">
        <f>T25/(1+$C34)^18</f>
        <v>114.78758090714221</v>
      </c>
      <c r="U35" s="5">
        <f>U25/(1+$C34)^19</f>
        <v>109.32150562584974</v>
      </c>
      <c r="V35" s="5">
        <f>V25/(1+$C34)^20</f>
        <v>104.11571964366641</v>
      </c>
      <c r="W35" s="5">
        <f>W25/(1+$C34)^21</f>
        <v>99.157828232063252</v>
      </c>
      <c r="X35" s="5">
        <f>X25/(1+$C34)^22</f>
        <v>94.43602688767929</v>
      </c>
      <c r="Y35" s="5">
        <f>Y25/(1+$C34)^23</f>
        <v>89.939073226361216</v>
      </c>
      <c r="Z35" s="5">
        <f>Z25/(1+$C34)^24</f>
        <v>85.656260215582122</v>
      </c>
      <c r="AA35" s="5">
        <f>AA25/(1+$C34)^25</f>
        <v>81.577390681506785</v>
      </c>
      <c r="AB35" s="5"/>
      <c r="AC35" s="5"/>
    </row>
    <row r="36" spans="2:29" x14ac:dyDescent="0.25">
      <c r="B36" s="1"/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9" x14ac:dyDescent="0.25">
      <c r="B37" s="22" t="s">
        <v>28</v>
      </c>
      <c r="C37" s="23"/>
      <c r="D37" s="27" t="s">
        <v>44</v>
      </c>
      <c r="E37" s="91" t="s">
        <v>0</v>
      </c>
      <c r="F37" s="91" t="s">
        <v>226</v>
      </c>
      <c r="G37" s="91" t="s">
        <v>227</v>
      </c>
      <c r="H37" s="91" t="s">
        <v>228</v>
      </c>
      <c r="I37" s="91" t="s">
        <v>229</v>
      </c>
      <c r="J37" s="91" t="s">
        <v>230</v>
      </c>
      <c r="K37" s="91" t="s">
        <v>231</v>
      </c>
      <c r="L37" s="91" t="s">
        <v>232</v>
      </c>
      <c r="M37" s="91" t="s">
        <v>233</v>
      </c>
      <c r="N37" s="91" t="s">
        <v>234</v>
      </c>
      <c r="O37" s="91" t="s">
        <v>235</v>
      </c>
      <c r="P37" s="91" t="s">
        <v>236</v>
      </c>
      <c r="Q37" s="91" t="s">
        <v>237</v>
      </c>
      <c r="R37" s="91" t="s">
        <v>238</v>
      </c>
      <c r="S37" s="91" t="s">
        <v>239</v>
      </c>
      <c r="T37" s="91" t="s">
        <v>240</v>
      </c>
      <c r="U37" s="91" t="s">
        <v>241</v>
      </c>
      <c r="V37" s="91" t="s">
        <v>242</v>
      </c>
      <c r="W37" s="91" t="s">
        <v>243</v>
      </c>
      <c r="X37" s="91" t="s">
        <v>244</v>
      </c>
      <c r="Y37" s="91" t="s">
        <v>245</v>
      </c>
      <c r="Z37" s="91" t="s">
        <v>246</v>
      </c>
      <c r="AA37" s="91" t="s">
        <v>247</v>
      </c>
      <c r="AB37" s="91" t="s">
        <v>248</v>
      </c>
      <c r="AC37" s="91" t="s">
        <v>249</v>
      </c>
    </row>
    <row r="38" spans="2:29" x14ac:dyDescent="0.25">
      <c r="B38" s="7" t="s">
        <v>15</v>
      </c>
      <c r="C38" s="8">
        <f>SUM(C35:AA35)</f>
        <v>5083.9283768460518</v>
      </c>
      <c r="D38" s="6" t="s">
        <v>30</v>
      </c>
      <c r="E38" s="10">
        <f>C35-C39</f>
        <v>-1046.4285714285716</v>
      </c>
      <c r="F38" s="10">
        <f>E38+D35</f>
        <v>-795.86167800453529</v>
      </c>
      <c r="G38" s="10">
        <f t="shared" ref="G38:J38" si="15">F38+E35</f>
        <v>-557.22654141021508</v>
      </c>
      <c r="H38" s="10">
        <f t="shared" si="15"/>
        <v>-329.95498274895772</v>
      </c>
      <c r="I38" s="10">
        <f t="shared" si="15"/>
        <v>-113.50587926204594</v>
      </c>
      <c r="J38" s="10">
        <f t="shared" si="15"/>
        <v>92.636124058822446</v>
      </c>
      <c r="K38" s="10">
        <f t="shared" ref="K38" si="16">J38+I35</f>
        <v>288.9618415072685</v>
      </c>
      <c r="L38" s="10">
        <f t="shared" ref="L38" si="17">K38+J35</f>
        <v>475.93871526769334</v>
      </c>
      <c r="M38" s="10">
        <f t="shared" ref="M38" si="18">L38+K35</f>
        <v>654.01192837285987</v>
      </c>
      <c r="N38" s="10">
        <f t="shared" ref="N38" si="19">M38+L35</f>
        <v>823.60546466349467</v>
      </c>
      <c r="O38" s="10">
        <f t="shared" ref="O38" si="20">N38+M35</f>
        <v>985.12311827362305</v>
      </c>
      <c r="P38" s="10">
        <f t="shared" ref="P38" si="21">O38+N35</f>
        <v>1138.9494550451739</v>
      </c>
      <c r="Q38" s="10">
        <f t="shared" ref="Q38" si="22">P38+O35</f>
        <v>1285.4507281609365</v>
      </c>
      <c r="R38" s="10">
        <f t="shared" ref="R38" si="23">Q38+P35</f>
        <v>1424.9757501759486</v>
      </c>
      <c r="S38" s="10">
        <f t="shared" ref="S38" si="24">R38+Q35</f>
        <v>1557.8567235235791</v>
      </c>
      <c r="T38" s="10">
        <f t="shared" ref="T38" si="25">S38+R35</f>
        <v>1684.4100314737034</v>
      </c>
      <c r="U38" s="10">
        <f t="shared" ref="U38" si="26">T38+S35</f>
        <v>1804.9369914262027</v>
      </c>
      <c r="V38" s="10">
        <f t="shared" ref="V38" si="27">U38+T35</f>
        <v>1919.7245723333449</v>
      </c>
      <c r="W38" s="10">
        <f t="shared" ref="W38" si="28">V38+U35</f>
        <v>2029.0460779591947</v>
      </c>
      <c r="X38" s="10">
        <f t="shared" ref="X38" si="29">W38+V35</f>
        <v>2133.161797602861</v>
      </c>
      <c r="Y38" s="10">
        <f t="shared" ref="Y38" si="30">X38+W35</f>
        <v>2232.3196258349244</v>
      </c>
      <c r="Z38" s="10">
        <f t="shared" ref="Z38" si="31">Y38+X35</f>
        <v>2326.7556527226038</v>
      </c>
      <c r="AA38" s="10">
        <f t="shared" ref="AA38" si="32">Z38+Y35</f>
        <v>2416.6947259489652</v>
      </c>
      <c r="AB38" s="10">
        <f t="shared" ref="AB38" si="33">AA38+Z35</f>
        <v>2502.3509861645475</v>
      </c>
      <c r="AC38" s="10">
        <f t="shared" ref="AC38" si="34">AB38+AA35</f>
        <v>2583.9283768460541</v>
      </c>
    </row>
    <row r="39" spans="2:29" x14ac:dyDescent="0.25">
      <c r="B39" s="7" t="s">
        <v>17</v>
      </c>
      <c r="C39" s="8">
        <v>2500</v>
      </c>
      <c r="D39" s="6"/>
      <c r="G39" t="s">
        <v>52</v>
      </c>
    </row>
    <row r="40" spans="2:29" x14ac:dyDescent="0.25">
      <c r="B40" s="7" t="s">
        <v>18</v>
      </c>
      <c r="C40" s="8"/>
      <c r="D40" s="6"/>
    </row>
    <row r="41" spans="2:29" x14ac:dyDescent="0.25">
      <c r="B41" s="7" t="s">
        <v>14</v>
      </c>
      <c r="C41" s="8">
        <f>C38-C39</f>
        <v>2583.9283768460518</v>
      </c>
      <c r="D41" s="6"/>
    </row>
    <row r="42" spans="2:29" x14ac:dyDescent="0.25">
      <c r="B42" s="29" t="s">
        <v>9</v>
      </c>
      <c r="C42" s="15">
        <f>(C41/C39)*100%</f>
        <v>1.0335713507384208</v>
      </c>
      <c r="D42" s="5" t="s">
        <v>164</v>
      </c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9" ht="15.75" thickBot="1" x14ac:dyDescent="0.3">
      <c r="E43" s="10"/>
    </row>
    <row r="44" spans="2:29" x14ac:dyDescent="0.25">
      <c r="B44" s="78" t="s">
        <v>155</v>
      </c>
      <c r="C44" s="88"/>
    </row>
    <row r="45" spans="2:29" x14ac:dyDescent="0.25">
      <c r="B45" s="42" t="s">
        <v>151</v>
      </c>
      <c r="C45" s="94" t="s">
        <v>216</v>
      </c>
    </row>
    <row r="46" spans="2:29" x14ac:dyDescent="0.25">
      <c r="B46" s="42" t="s">
        <v>152</v>
      </c>
      <c r="C46" s="94" t="s">
        <v>193</v>
      </c>
    </row>
    <row r="47" spans="2:29" x14ac:dyDescent="0.25">
      <c r="B47" s="44"/>
      <c r="C47" s="94"/>
    </row>
    <row r="48" spans="2:29" x14ac:dyDescent="0.25">
      <c r="B48" s="102" t="s">
        <v>156</v>
      </c>
      <c r="C48" s="95"/>
    </row>
    <row r="49" spans="2:3" x14ac:dyDescent="0.25">
      <c r="B49" s="42" t="s">
        <v>153</v>
      </c>
      <c r="C49" s="94" t="s">
        <v>221</v>
      </c>
    </row>
    <row r="50" spans="2:3" ht="15.75" thickBot="1" x14ac:dyDescent="0.3">
      <c r="B50" s="46" t="s">
        <v>154</v>
      </c>
      <c r="C50" s="96" t="s">
        <v>225</v>
      </c>
    </row>
  </sheetData>
  <phoneticPr fontId="6" type="noConversion"/>
  <pageMargins left="0.7" right="0.7" top="0.75" bottom="0.75" header="0.3" footer="0.3"/>
  <pageSetup paperSize="9" orientation="portrait" r:id="rId1"/>
  <ignoredErrors>
    <ignoredError sqref="C19:AA19" formula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"/>
  <sheetViews>
    <sheetView workbookViewId="0">
      <selection activeCell="C7" sqref="C7"/>
    </sheetView>
  </sheetViews>
  <sheetFormatPr defaultRowHeight="15" x14ac:dyDescent="0.25"/>
  <cols>
    <col min="1" max="1" width="98.7109375" customWidth="1"/>
    <col min="2" max="2" width="14.7109375" customWidth="1"/>
    <col min="3" max="3" width="20.85546875" customWidth="1"/>
    <col min="4" max="4" width="24.85546875" customWidth="1"/>
    <col min="5" max="5" width="76.7109375" customWidth="1"/>
    <col min="6" max="6" width="88.140625" customWidth="1"/>
  </cols>
  <sheetData>
    <row r="1" spans="1:6" x14ac:dyDescent="0.25">
      <c r="A1" s="75" t="s">
        <v>289</v>
      </c>
      <c r="E1" t="s">
        <v>13</v>
      </c>
    </row>
    <row r="2" spans="1:6" x14ac:dyDescent="0.25">
      <c r="A2" s="74" t="s">
        <v>298</v>
      </c>
    </row>
    <row r="3" spans="1:6" ht="30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6" x14ac:dyDescent="0.25">
      <c r="B4" s="13"/>
    </row>
    <row r="5" spans="1:6" x14ac:dyDescent="0.25">
      <c r="A5" t="s">
        <v>86</v>
      </c>
      <c r="B5" s="97">
        <f>'BC PV-design'!C42</f>
        <v>0.38172641455885181</v>
      </c>
      <c r="C5" s="86"/>
      <c r="D5" s="86"/>
      <c r="E5" t="s">
        <v>81</v>
      </c>
    </row>
    <row r="6" spans="1:6" x14ac:dyDescent="0.25">
      <c r="B6" s="97"/>
      <c r="C6" s="86"/>
      <c r="D6" s="86"/>
    </row>
    <row r="7" spans="1:6" ht="30" x14ac:dyDescent="0.25">
      <c r="A7" s="40" t="s">
        <v>127</v>
      </c>
      <c r="B7" s="86"/>
      <c r="C7" s="86">
        <f>'BC PV-design'!B3*0.6</f>
        <v>1320</v>
      </c>
      <c r="D7" s="86"/>
      <c r="E7" s="103" t="s">
        <v>125</v>
      </c>
    </row>
    <row r="8" spans="1:6" x14ac:dyDescent="0.25">
      <c r="A8" t="s">
        <v>88</v>
      </c>
      <c r="B8" s="86"/>
      <c r="C8" s="86">
        <f>'BC PV-basis'!B4*1.9</f>
        <v>0</v>
      </c>
      <c r="D8" s="86"/>
      <c r="E8" t="s">
        <v>124</v>
      </c>
    </row>
    <row r="9" spans="1:6" x14ac:dyDescent="0.25">
      <c r="A9" t="s">
        <v>89</v>
      </c>
      <c r="B9" s="86"/>
      <c r="C9" s="86">
        <f>C7+C8</f>
        <v>1320</v>
      </c>
      <c r="D9" s="86"/>
      <c r="E9" t="s">
        <v>126</v>
      </c>
    </row>
    <row r="10" spans="1:6" x14ac:dyDescent="0.25">
      <c r="B10" s="86"/>
      <c r="C10" s="86"/>
      <c r="D10" s="86"/>
    </row>
    <row r="11" spans="1:6" ht="30" x14ac:dyDescent="0.25">
      <c r="A11" t="s">
        <v>90</v>
      </c>
      <c r="B11" s="86"/>
      <c r="C11" s="86"/>
      <c r="D11" s="86" t="s">
        <v>78</v>
      </c>
      <c r="E11" s="104" t="s">
        <v>130</v>
      </c>
      <c r="F11" s="2" t="s">
        <v>159</v>
      </c>
    </row>
    <row r="12" spans="1:6" x14ac:dyDescent="0.25">
      <c r="A12" s="40"/>
      <c r="B12" s="86"/>
      <c r="C12" s="86"/>
      <c r="D12" s="86"/>
      <c r="E12" s="40" t="s">
        <v>158</v>
      </c>
      <c r="F12" s="48" t="s">
        <v>294</v>
      </c>
    </row>
    <row r="13" spans="1:6" x14ac:dyDescent="0.25">
      <c r="B13" s="86"/>
      <c r="C13" s="98"/>
      <c r="D13" s="86"/>
      <c r="E13" s="38"/>
      <c r="F13" s="117" t="s">
        <v>93</v>
      </c>
    </row>
    <row r="14" spans="1:6" x14ac:dyDescent="0.25">
      <c r="A14" s="40" t="s">
        <v>186</v>
      </c>
      <c r="B14" s="86">
        <v>3</v>
      </c>
      <c r="C14" s="86">
        <v>4</v>
      </c>
      <c r="D14" s="86">
        <v>5</v>
      </c>
      <c r="E14" s="40" t="s">
        <v>132</v>
      </c>
      <c r="F14" s="117" t="s">
        <v>94</v>
      </c>
    </row>
    <row r="15" spans="1:6" x14ac:dyDescent="0.25">
      <c r="B15" s="86"/>
      <c r="C15" s="26"/>
      <c r="D15" s="86"/>
      <c r="E15" s="40" t="s">
        <v>82</v>
      </c>
      <c r="F15" s="117" t="s">
        <v>291</v>
      </c>
    </row>
    <row r="16" spans="1:6" x14ac:dyDescent="0.25">
      <c r="B16" s="86"/>
      <c r="C16" s="26"/>
      <c r="D16" s="86"/>
      <c r="F16" s="16" t="s">
        <v>95</v>
      </c>
    </row>
    <row r="17" spans="1:6" x14ac:dyDescent="0.25">
      <c r="A17" t="s">
        <v>131</v>
      </c>
      <c r="B17" s="99">
        <v>0.5</v>
      </c>
      <c r="C17" s="99">
        <v>0.1</v>
      </c>
      <c r="D17" s="99">
        <v>0.4</v>
      </c>
      <c r="E17" s="2" t="s">
        <v>84</v>
      </c>
      <c r="F17" s="48" t="s">
        <v>74</v>
      </c>
    </row>
    <row r="18" spans="1:6" ht="18.75" x14ac:dyDescent="0.3">
      <c r="B18" s="4"/>
      <c r="C18" s="4"/>
      <c r="D18" s="4"/>
      <c r="E18" s="14"/>
      <c r="F18" s="16" t="s">
        <v>96</v>
      </c>
    </row>
    <row r="19" spans="1:6" x14ac:dyDescent="0.25">
      <c r="A19" s="110" t="s">
        <v>128</v>
      </c>
      <c r="B19" s="111">
        <f>B14*B17+C14*C17+D14*D17</f>
        <v>3.9</v>
      </c>
      <c r="E19" s="40" t="s">
        <v>129</v>
      </c>
      <c r="F19" s="16" t="s">
        <v>97</v>
      </c>
    </row>
    <row r="20" spans="1:6" x14ac:dyDescent="0.25">
      <c r="F20" s="48" t="s">
        <v>99</v>
      </c>
    </row>
    <row r="21" spans="1:6" x14ac:dyDescent="0.25">
      <c r="F21" s="48" t="s">
        <v>292</v>
      </c>
    </row>
    <row r="22" spans="1:6" x14ac:dyDescent="0.25">
      <c r="F22" s="48" t="s">
        <v>100</v>
      </c>
    </row>
    <row r="23" spans="1:6" x14ac:dyDescent="0.25">
      <c r="F23" s="48" t="s">
        <v>101</v>
      </c>
    </row>
    <row r="24" spans="1:6" x14ac:dyDescent="0.25">
      <c r="F24" s="116" t="s">
        <v>297</v>
      </c>
    </row>
    <row r="25" spans="1:6" x14ac:dyDescent="0.25">
      <c r="F25" s="48" t="s">
        <v>296</v>
      </c>
    </row>
    <row r="26" spans="1:6" x14ac:dyDescent="0.25">
      <c r="F26" s="48" t="s">
        <v>102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50"/>
  <sheetViews>
    <sheetView zoomScaleNormal="100" workbookViewId="0">
      <selection activeCell="B8" sqref="B8"/>
    </sheetView>
  </sheetViews>
  <sheetFormatPr defaultRowHeight="15" x14ac:dyDescent="0.25"/>
  <cols>
    <col min="1" max="1" width="17.28515625" bestFit="1" customWidth="1"/>
    <col min="2" max="2" width="85.85546875" customWidth="1"/>
    <col min="3" max="3" width="12.7109375" customWidth="1"/>
    <col min="4" max="4" width="16.7109375" customWidth="1"/>
    <col min="5" max="24" width="12.7109375" customWidth="1"/>
  </cols>
  <sheetData>
    <row r="1" spans="1:24" s="113" customFormat="1" x14ac:dyDescent="0.25">
      <c r="B1" s="112" t="s">
        <v>199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  <c r="O1" s="89" t="s">
        <v>237</v>
      </c>
      <c r="P1" s="89" t="s">
        <v>238</v>
      </c>
      <c r="Q1" s="89" t="s">
        <v>239</v>
      </c>
      <c r="R1" s="89" t="s">
        <v>240</v>
      </c>
      <c r="S1" s="89" t="s">
        <v>241</v>
      </c>
      <c r="T1" s="89" t="s">
        <v>242</v>
      </c>
      <c r="U1" s="89" t="s">
        <v>243</v>
      </c>
      <c r="V1" s="89" t="s">
        <v>244</v>
      </c>
      <c r="W1" s="89" t="s">
        <v>245</v>
      </c>
      <c r="X1" s="89" t="s">
        <v>246</v>
      </c>
    </row>
    <row r="2" spans="1:24" x14ac:dyDescent="0.25">
      <c r="B2" t="s">
        <v>302</v>
      </c>
    </row>
    <row r="3" spans="1:24" x14ac:dyDescent="0.25">
      <c r="A3" t="s">
        <v>307</v>
      </c>
      <c r="B3" s="113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x14ac:dyDescent="0.25">
      <c r="A4" t="s">
        <v>308</v>
      </c>
      <c r="B4" s="113">
        <v>570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 x14ac:dyDescent="0.25">
      <c r="A5" t="s">
        <v>286</v>
      </c>
      <c r="B5" s="113">
        <v>0.25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 x14ac:dyDescent="0.25">
      <c r="A6" t="s">
        <v>287</v>
      </c>
      <c r="B6" s="113">
        <v>0.5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 x14ac:dyDescent="0.25">
      <c r="B7" s="1"/>
      <c r="C7" s="82"/>
      <c r="D7" s="82"/>
      <c r="E7" s="82"/>
      <c r="F7" s="82"/>
      <c r="G7" s="8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B8" s="148" t="s">
        <v>290</v>
      </c>
      <c r="C8" s="5">
        <f>$B6*$B$4</f>
        <v>285</v>
      </c>
      <c r="D8" s="5">
        <f t="shared" ref="D8:V8" si="0">$B6*$B$4</f>
        <v>285</v>
      </c>
      <c r="E8" s="5">
        <f t="shared" si="0"/>
        <v>285</v>
      </c>
      <c r="F8" s="5">
        <f t="shared" si="0"/>
        <v>285</v>
      </c>
      <c r="G8" s="5">
        <f t="shared" si="0"/>
        <v>285</v>
      </c>
      <c r="H8" s="5">
        <f t="shared" si="0"/>
        <v>285</v>
      </c>
      <c r="I8" s="5">
        <f t="shared" si="0"/>
        <v>285</v>
      </c>
      <c r="J8" s="5">
        <f t="shared" si="0"/>
        <v>285</v>
      </c>
      <c r="K8" s="5">
        <f t="shared" si="0"/>
        <v>285</v>
      </c>
      <c r="L8" s="5">
        <f t="shared" si="0"/>
        <v>285</v>
      </c>
      <c r="M8" s="5">
        <f t="shared" si="0"/>
        <v>285</v>
      </c>
      <c r="N8" s="5">
        <f t="shared" si="0"/>
        <v>285</v>
      </c>
      <c r="O8" s="5">
        <f t="shared" si="0"/>
        <v>285</v>
      </c>
      <c r="P8" s="5">
        <f t="shared" si="0"/>
        <v>285</v>
      </c>
      <c r="Q8" s="5">
        <f t="shared" si="0"/>
        <v>285</v>
      </c>
      <c r="R8" s="5">
        <f t="shared" si="0"/>
        <v>285</v>
      </c>
      <c r="S8" s="5">
        <f t="shared" si="0"/>
        <v>285</v>
      </c>
      <c r="T8" s="5">
        <f t="shared" si="0"/>
        <v>285</v>
      </c>
      <c r="U8" s="5">
        <f t="shared" si="0"/>
        <v>285</v>
      </c>
      <c r="V8" s="5">
        <f t="shared" si="0"/>
        <v>285</v>
      </c>
      <c r="W8" s="5">
        <v>0</v>
      </c>
      <c r="X8" s="5">
        <v>0</v>
      </c>
    </row>
    <row r="9" spans="1:24" x14ac:dyDescent="0.25">
      <c r="B9" t="s">
        <v>54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51"/>
      <c r="S9" s="51"/>
      <c r="T9" s="51"/>
      <c r="U9" s="51"/>
      <c r="V9" s="51"/>
      <c r="W9" s="5"/>
      <c r="X9" s="5"/>
    </row>
    <row r="10" spans="1:24" x14ac:dyDescent="0.25">
      <c r="B10" t="s">
        <v>133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51"/>
      <c r="S10" s="51"/>
      <c r="T10" s="51"/>
      <c r="U10" s="51"/>
      <c r="V10" s="51"/>
      <c r="W10" s="5"/>
      <c r="X10" s="5"/>
    </row>
    <row r="11" spans="1:24" x14ac:dyDescent="0.25">
      <c r="B11" t="s">
        <v>135</v>
      </c>
      <c r="C11" s="6">
        <v>75</v>
      </c>
      <c r="D11" s="6">
        <v>75</v>
      </c>
      <c r="E11" s="6">
        <v>75</v>
      </c>
      <c r="F11" s="6">
        <v>75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6">
        <v>75</v>
      </c>
      <c r="N11" s="6">
        <v>75</v>
      </c>
      <c r="O11" s="6">
        <v>75</v>
      </c>
      <c r="P11" s="6">
        <v>75</v>
      </c>
      <c r="Q11" s="6">
        <v>75</v>
      </c>
      <c r="R11" s="6">
        <v>75</v>
      </c>
      <c r="S11" s="6">
        <v>75</v>
      </c>
      <c r="T11" s="6">
        <v>75</v>
      </c>
      <c r="U11" s="6">
        <v>75</v>
      </c>
      <c r="V11" s="6">
        <v>75</v>
      </c>
      <c r="W11" s="6">
        <v>0</v>
      </c>
      <c r="X11" s="6">
        <v>0</v>
      </c>
    </row>
    <row r="12" spans="1:24" x14ac:dyDescent="0.25">
      <c r="B12" t="s">
        <v>134</v>
      </c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51"/>
      <c r="S12" s="51"/>
      <c r="T12" s="51"/>
      <c r="U12" s="51"/>
      <c r="V12" s="51"/>
      <c r="W12" s="5"/>
      <c r="X12" s="5"/>
    </row>
    <row r="13" spans="1:24" x14ac:dyDescent="0.25">
      <c r="B13" t="s">
        <v>21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51"/>
      <c r="S13" s="51"/>
      <c r="T13" s="51"/>
      <c r="U13" s="51"/>
      <c r="V13" s="51"/>
      <c r="W13" s="5"/>
      <c r="X13" s="5"/>
    </row>
    <row r="14" spans="1:24" x14ac:dyDescent="0.25">
      <c r="B14" s="1" t="s">
        <v>1</v>
      </c>
      <c r="C14" s="5">
        <f>C8-SUM(C9:C13)</f>
        <v>210</v>
      </c>
      <c r="D14" s="5">
        <f>D8-SUM(D9:D13)</f>
        <v>210</v>
      </c>
      <c r="E14" s="5">
        <f>E8-SUM(E9:E13)</f>
        <v>210</v>
      </c>
      <c r="F14" s="5">
        <f>F8-SUM(F9:F13)</f>
        <v>210</v>
      </c>
      <c r="G14" s="5">
        <f>G8-SUM(G9:G13)</f>
        <v>210</v>
      </c>
      <c r="H14" s="5">
        <f t="shared" ref="H14:V14" si="1">H8-SUM(H9:H13)</f>
        <v>210</v>
      </c>
      <c r="I14" s="5">
        <f t="shared" si="1"/>
        <v>210</v>
      </c>
      <c r="J14" s="5">
        <f t="shared" si="1"/>
        <v>210</v>
      </c>
      <c r="K14" s="5">
        <f t="shared" si="1"/>
        <v>210</v>
      </c>
      <c r="L14" s="5">
        <f t="shared" si="1"/>
        <v>210</v>
      </c>
      <c r="M14" s="5">
        <f t="shared" si="1"/>
        <v>210</v>
      </c>
      <c r="N14" s="5">
        <f t="shared" si="1"/>
        <v>210</v>
      </c>
      <c r="O14" s="5">
        <f t="shared" si="1"/>
        <v>210</v>
      </c>
      <c r="P14" s="5">
        <f t="shared" si="1"/>
        <v>210</v>
      </c>
      <c r="Q14" s="5">
        <f t="shared" si="1"/>
        <v>210</v>
      </c>
      <c r="R14" s="50">
        <f t="shared" si="1"/>
        <v>210</v>
      </c>
      <c r="S14" s="50">
        <f t="shared" si="1"/>
        <v>210</v>
      </c>
      <c r="T14" s="50">
        <f t="shared" si="1"/>
        <v>210</v>
      </c>
      <c r="U14" s="50">
        <f t="shared" si="1"/>
        <v>210</v>
      </c>
      <c r="V14" s="50">
        <f t="shared" si="1"/>
        <v>210</v>
      </c>
      <c r="W14" s="5">
        <f t="shared" ref="W14:X14" si="2">W8-SUM(W9:W13)</f>
        <v>0</v>
      </c>
      <c r="X14" s="5">
        <f t="shared" si="2"/>
        <v>0</v>
      </c>
    </row>
    <row r="15" spans="1:24" ht="30" x14ac:dyDescent="0.25">
      <c r="B15" s="55" t="s">
        <v>16</v>
      </c>
      <c r="C15" s="6">
        <f>$C$29/20</f>
        <v>250</v>
      </c>
      <c r="D15" s="6">
        <f t="shared" ref="D15:V15" si="3">$C$29/20</f>
        <v>250</v>
      </c>
      <c r="E15" s="6">
        <f t="shared" si="3"/>
        <v>250</v>
      </c>
      <c r="F15" s="6">
        <f t="shared" si="3"/>
        <v>250</v>
      </c>
      <c r="G15" s="6">
        <f t="shared" si="3"/>
        <v>250</v>
      </c>
      <c r="H15" s="6">
        <f t="shared" si="3"/>
        <v>250</v>
      </c>
      <c r="I15" s="6">
        <f t="shared" si="3"/>
        <v>250</v>
      </c>
      <c r="J15" s="6">
        <f t="shared" si="3"/>
        <v>250</v>
      </c>
      <c r="K15" s="6">
        <f t="shared" si="3"/>
        <v>250</v>
      </c>
      <c r="L15" s="6">
        <f t="shared" si="3"/>
        <v>250</v>
      </c>
      <c r="M15" s="6">
        <f t="shared" si="3"/>
        <v>250</v>
      </c>
      <c r="N15" s="6">
        <f t="shared" si="3"/>
        <v>250</v>
      </c>
      <c r="O15" s="6">
        <f t="shared" si="3"/>
        <v>250</v>
      </c>
      <c r="P15" s="6">
        <f t="shared" si="3"/>
        <v>250</v>
      </c>
      <c r="Q15" s="6">
        <f t="shared" si="3"/>
        <v>250</v>
      </c>
      <c r="R15" s="51">
        <f t="shared" si="3"/>
        <v>250</v>
      </c>
      <c r="S15" s="51">
        <f t="shared" si="3"/>
        <v>250</v>
      </c>
      <c r="T15" s="51">
        <f t="shared" si="3"/>
        <v>250</v>
      </c>
      <c r="U15" s="51">
        <f t="shared" si="3"/>
        <v>250</v>
      </c>
      <c r="V15" s="51">
        <f t="shared" si="3"/>
        <v>250</v>
      </c>
      <c r="W15" s="6">
        <v>0</v>
      </c>
      <c r="X15" s="6">
        <v>0</v>
      </c>
    </row>
    <row r="16" spans="1:24" x14ac:dyDescent="0.25">
      <c r="B16" s="1" t="s">
        <v>2</v>
      </c>
      <c r="C16" s="5">
        <f t="shared" ref="C16:V16" si="4">C14-C15</f>
        <v>-40</v>
      </c>
      <c r="D16" s="5">
        <f t="shared" si="4"/>
        <v>-40</v>
      </c>
      <c r="E16" s="5">
        <f t="shared" si="4"/>
        <v>-40</v>
      </c>
      <c r="F16" s="5">
        <f t="shared" si="4"/>
        <v>-40</v>
      </c>
      <c r="G16" s="5">
        <f t="shared" si="4"/>
        <v>-40</v>
      </c>
      <c r="H16" s="5">
        <f t="shared" si="4"/>
        <v>-40</v>
      </c>
      <c r="I16" s="5">
        <f t="shared" si="4"/>
        <v>-40</v>
      </c>
      <c r="J16" s="5">
        <f t="shared" si="4"/>
        <v>-40</v>
      </c>
      <c r="K16" s="5">
        <f t="shared" si="4"/>
        <v>-40</v>
      </c>
      <c r="L16" s="5">
        <f t="shared" si="4"/>
        <v>-40</v>
      </c>
      <c r="M16" s="5">
        <f t="shared" si="4"/>
        <v>-40</v>
      </c>
      <c r="N16" s="5">
        <f t="shared" si="4"/>
        <v>-40</v>
      </c>
      <c r="O16" s="5">
        <f t="shared" si="4"/>
        <v>-40</v>
      </c>
      <c r="P16" s="5">
        <f t="shared" si="4"/>
        <v>-40</v>
      </c>
      <c r="Q16" s="5">
        <f t="shared" si="4"/>
        <v>-40</v>
      </c>
      <c r="R16" s="50">
        <f t="shared" si="4"/>
        <v>-40</v>
      </c>
      <c r="S16" s="50">
        <f t="shared" si="4"/>
        <v>-40</v>
      </c>
      <c r="T16" s="50">
        <f t="shared" si="4"/>
        <v>-40</v>
      </c>
      <c r="U16" s="50">
        <f t="shared" si="4"/>
        <v>-40</v>
      </c>
      <c r="V16" s="50">
        <f t="shared" si="4"/>
        <v>-40</v>
      </c>
      <c r="W16" s="5">
        <f t="shared" ref="W16:X16" si="5">W14-W15</f>
        <v>0</v>
      </c>
      <c r="X16" s="5">
        <f t="shared" si="5"/>
        <v>0</v>
      </c>
    </row>
    <row r="17" spans="2:24" x14ac:dyDescent="0.25">
      <c r="B17" t="s">
        <v>23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</row>
    <row r="18" spans="2:24" x14ac:dyDescent="0.25">
      <c r="B18" s="1" t="s">
        <v>3</v>
      </c>
      <c r="C18" s="5">
        <f t="shared" ref="C18:V18" si="6">C16-C17</f>
        <v>-40</v>
      </c>
      <c r="D18" s="5">
        <f t="shared" si="6"/>
        <v>-40</v>
      </c>
      <c r="E18" s="5">
        <f t="shared" si="6"/>
        <v>-40</v>
      </c>
      <c r="F18" s="5">
        <f t="shared" si="6"/>
        <v>-40</v>
      </c>
      <c r="G18" s="5">
        <f t="shared" si="6"/>
        <v>-40</v>
      </c>
      <c r="H18" s="5">
        <f t="shared" si="6"/>
        <v>-40</v>
      </c>
      <c r="I18" s="5">
        <f t="shared" si="6"/>
        <v>-40</v>
      </c>
      <c r="J18" s="5">
        <f t="shared" si="6"/>
        <v>-40</v>
      </c>
      <c r="K18" s="5">
        <f t="shared" si="6"/>
        <v>-40</v>
      </c>
      <c r="L18" s="5">
        <f t="shared" si="6"/>
        <v>-40</v>
      </c>
      <c r="M18" s="5">
        <f t="shared" si="6"/>
        <v>-40</v>
      </c>
      <c r="N18" s="5">
        <f t="shared" si="6"/>
        <v>-40</v>
      </c>
      <c r="O18" s="5">
        <f t="shared" si="6"/>
        <v>-40</v>
      </c>
      <c r="P18" s="5">
        <f t="shared" si="6"/>
        <v>-40</v>
      </c>
      <c r="Q18" s="5">
        <f t="shared" si="6"/>
        <v>-40</v>
      </c>
      <c r="R18" s="50">
        <f t="shared" si="6"/>
        <v>-40</v>
      </c>
      <c r="S18" s="50">
        <f t="shared" si="6"/>
        <v>-40</v>
      </c>
      <c r="T18" s="50">
        <f t="shared" si="6"/>
        <v>-40</v>
      </c>
      <c r="U18" s="50">
        <f t="shared" si="6"/>
        <v>-40</v>
      </c>
      <c r="V18" s="50">
        <f t="shared" si="6"/>
        <v>-40</v>
      </c>
      <c r="W18" s="5">
        <f t="shared" ref="W18:X18" si="7">W16-W17</f>
        <v>0</v>
      </c>
      <c r="X18" s="5">
        <f t="shared" si="7"/>
        <v>0</v>
      </c>
    </row>
    <row r="19" spans="2:24" x14ac:dyDescent="0.25">
      <c r="B19" t="s">
        <v>20</v>
      </c>
      <c r="C19" s="6">
        <f>0.25*C18</f>
        <v>-10</v>
      </c>
      <c r="D19" s="6">
        <f t="shared" ref="D19:V19" si="8">0.25*D18</f>
        <v>-10</v>
      </c>
      <c r="E19" s="6">
        <f t="shared" si="8"/>
        <v>-10</v>
      </c>
      <c r="F19" s="6">
        <f t="shared" si="8"/>
        <v>-10</v>
      </c>
      <c r="G19" s="6">
        <f t="shared" si="8"/>
        <v>-10</v>
      </c>
      <c r="H19" s="6">
        <f t="shared" si="8"/>
        <v>-10</v>
      </c>
      <c r="I19" s="6">
        <f t="shared" si="8"/>
        <v>-10</v>
      </c>
      <c r="J19" s="6">
        <f t="shared" si="8"/>
        <v>-10</v>
      </c>
      <c r="K19" s="6">
        <f t="shared" si="8"/>
        <v>-10</v>
      </c>
      <c r="L19" s="6">
        <f t="shared" si="8"/>
        <v>-10</v>
      </c>
      <c r="M19" s="6">
        <f t="shared" si="8"/>
        <v>-10</v>
      </c>
      <c r="N19" s="6">
        <f t="shared" si="8"/>
        <v>-10</v>
      </c>
      <c r="O19" s="6">
        <f t="shared" si="8"/>
        <v>-10</v>
      </c>
      <c r="P19" s="6">
        <f t="shared" si="8"/>
        <v>-10</v>
      </c>
      <c r="Q19" s="6">
        <f t="shared" si="8"/>
        <v>-10</v>
      </c>
      <c r="R19" s="51">
        <f t="shared" si="8"/>
        <v>-10</v>
      </c>
      <c r="S19" s="51">
        <f t="shared" si="8"/>
        <v>-10</v>
      </c>
      <c r="T19" s="51">
        <f t="shared" si="8"/>
        <v>-10</v>
      </c>
      <c r="U19" s="51">
        <f t="shared" si="8"/>
        <v>-10</v>
      </c>
      <c r="V19" s="51">
        <f t="shared" si="8"/>
        <v>-10</v>
      </c>
      <c r="W19" s="6">
        <f t="shared" ref="W19:X19" si="9">0.25*W18</f>
        <v>0</v>
      </c>
      <c r="X19" s="6">
        <f t="shared" si="9"/>
        <v>0</v>
      </c>
    </row>
    <row r="20" spans="2:24" x14ac:dyDescent="0.25">
      <c r="B20" s="1" t="s">
        <v>4</v>
      </c>
      <c r="C20" s="5">
        <f t="shared" ref="C20:V20" si="10">C18-C19</f>
        <v>-30</v>
      </c>
      <c r="D20" s="5">
        <f t="shared" si="10"/>
        <v>-30</v>
      </c>
      <c r="E20" s="5">
        <f t="shared" si="10"/>
        <v>-30</v>
      </c>
      <c r="F20" s="5">
        <f t="shared" si="10"/>
        <v>-30</v>
      </c>
      <c r="G20" s="5">
        <f t="shared" si="10"/>
        <v>-30</v>
      </c>
      <c r="H20" s="5">
        <f t="shared" si="10"/>
        <v>-30</v>
      </c>
      <c r="I20" s="5">
        <f t="shared" si="10"/>
        <v>-30</v>
      </c>
      <c r="J20" s="5">
        <f t="shared" si="10"/>
        <v>-30</v>
      </c>
      <c r="K20" s="5">
        <f t="shared" si="10"/>
        <v>-30</v>
      </c>
      <c r="L20" s="5">
        <f t="shared" si="10"/>
        <v>-30</v>
      </c>
      <c r="M20" s="5">
        <f t="shared" si="10"/>
        <v>-30</v>
      </c>
      <c r="N20" s="5">
        <f t="shared" si="10"/>
        <v>-30</v>
      </c>
      <c r="O20" s="5">
        <f t="shared" si="10"/>
        <v>-30</v>
      </c>
      <c r="P20" s="5">
        <f t="shared" si="10"/>
        <v>-30</v>
      </c>
      <c r="Q20" s="5">
        <f t="shared" si="10"/>
        <v>-30</v>
      </c>
      <c r="R20" s="50">
        <f t="shared" si="10"/>
        <v>-30</v>
      </c>
      <c r="S20" s="50">
        <f t="shared" si="10"/>
        <v>-30</v>
      </c>
      <c r="T20" s="50">
        <f t="shared" si="10"/>
        <v>-30</v>
      </c>
      <c r="U20" s="50">
        <f t="shared" si="10"/>
        <v>-30</v>
      </c>
      <c r="V20" s="50">
        <f t="shared" si="10"/>
        <v>-30</v>
      </c>
      <c r="W20" s="5">
        <f t="shared" ref="W20:X20" si="11">W18-W19</f>
        <v>0</v>
      </c>
      <c r="X20" s="5">
        <f t="shared" si="11"/>
        <v>0</v>
      </c>
    </row>
    <row r="21" spans="2:24" x14ac:dyDescent="0.25">
      <c r="B21" t="s">
        <v>136</v>
      </c>
      <c r="C21" s="6">
        <f>C15</f>
        <v>250</v>
      </c>
      <c r="D21" s="6">
        <f>D15</f>
        <v>250</v>
      </c>
      <c r="E21" s="6">
        <f>E15</f>
        <v>250</v>
      </c>
      <c r="F21" s="6">
        <f>F15</f>
        <v>250</v>
      </c>
      <c r="G21" s="6">
        <f>G15</f>
        <v>250</v>
      </c>
      <c r="H21" s="6">
        <f t="shared" ref="H21:V21" si="12">H15</f>
        <v>250</v>
      </c>
      <c r="I21" s="6">
        <f t="shared" si="12"/>
        <v>250</v>
      </c>
      <c r="J21" s="6">
        <f t="shared" si="12"/>
        <v>250</v>
      </c>
      <c r="K21" s="6">
        <f t="shared" si="12"/>
        <v>250</v>
      </c>
      <c r="L21" s="6">
        <f t="shared" si="12"/>
        <v>250</v>
      </c>
      <c r="M21" s="6">
        <f t="shared" si="12"/>
        <v>250</v>
      </c>
      <c r="N21" s="6">
        <f t="shared" si="12"/>
        <v>250</v>
      </c>
      <c r="O21" s="6">
        <f t="shared" si="12"/>
        <v>250</v>
      </c>
      <c r="P21" s="6">
        <f t="shared" si="12"/>
        <v>250</v>
      </c>
      <c r="Q21" s="6">
        <f t="shared" si="12"/>
        <v>250</v>
      </c>
      <c r="R21" s="51">
        <f t="shared" si="12"/>
        <v>250</v>
      </c>
      <c r="S21" s="51">
        <f t="shared" si="12"/>
        <v>250</v>
      </c>
      <c r="T21" s="51">
        <f t="shared" si="12"/>
        <v>250</v>
      </c>
      <c r="U21" s="51">
        <f t="shared" si="12"/>
        <v>250</v>
      </c>
      <c r="V21" s="51">
        <f t="shared" si="12"/>
        <v>250</v>
      </c>
      <c r="W21" s="6">
        <f t="shared" ref="W21:X21" si="13">W15</f>
        <v>0</v>
      </c>
      <c r="X21" s="6">
        <f t="shared" si="13"/>
        <v>0</v>
      </c>
    </row>
    <row r="22" spans="2:24" x14ac:dyDescent="0.25">
      <c r="B22" t="s">
        <v>45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51"/>
      <c r="S22" s="51"/>
      <c r="T22" s="51"/>
      <c r="U22" s="51"/>
      <c r="V22" s="51"/>
      <c r="W22" s="5"/>
      <c r="X22" s="5"/>
    </row>
    <row r="23" spans="2:24" x14ac:dyDescent="0.25">
      <c r="B23" s="11" t="s">
        <v>137</v>
      </c>
      <c r="C23" s="6">
        <v>1410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52"/>
      <c r="S23" s="52"/>
      <c r="T23" s="52"/>
      <c r="U23" s="52"/>
      <c r="V23" s="52"/>
      <c r="W23" s="5"/>
      <c r="X23" s="5"/>
    </row>
    <row r="24" spans="2:24" x14ac:dyDescent="0.25">
      <c r="B24" s="55" t="s">
        <v>33</v>
      </c>
      <c r="C24" s="6">
        <f>C29*0.5</f>
        <v>2500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52"/>
      <c r="S24" s="52"/>
      <c r="T24" s="52"/>
      <c r="U24" s="52"/>
      <c r="V24" s="52"/>
      <c r="W24" s="5"/>
      <c r="X24" s="5"/>
    </row>
    <row r="25" spans="2:24" x14ac:dyDescent="0.25">
      <c r="B25" s="1" t="s">
        <v>5</v>
      </c>
      <c r="C25" s="5">
        <f t="shared" ref="C25:H25" si="14">C20+SUM(C21:C24)</f>
        <v>4130</v>
      </c>
      <c r="D25" s="5">
        <f t="shared" si="14"/>
        <v>220</v>
      </c>
      <c r="E25" s="5">
        <f t="shared" si="14"/>
        <v>220</v>
      </c>
      <c r="F25" s="5">
        <f t="shared" si="14"/>
        <v>220</v>
      </c>
      <c r="G25" s="5">
        <f t="shared" si="14"/>
        <v>220</v>
      </c>
      <c r="H25" s="5">
        <f t="shared" si="14"/>
        <v>220</v>
      </c>
      <c r="I25" s="5">
        <f t="shared" ref="I25:V25" si="15">I20+SUM(I21:I24)</f>
        <v>220</v>
      </c>
      <c r="J25" s="5">
        <f t="shared" si="15"/>
        <v>220</v>
      </c>
      <c r="K25" s="5">
        <f t="shared" si="15"/>
        <v>220</v>
      </c>
      <c r="L25" s="5">
        <f t="shared" si="15"/>
        <v>220</v>
      </c>
      <c r="M25" s="5">
        <f t="shared" si="15"/>
        <v>220</v>
      </c>
      <c r="N25" s="5">
        <f t="shared" si="15"/>
        <v>220</v>
      </c>
      <c r="O25" s="5">
        <f t="shared" si="15"/>
        <v>220</v>
      </c>
      <c r="P25" s="5">
        <f t="shared" si="15"/>
        <v>220</v>
      </c>
      <c r="Q25" s="5">
        <f t="shared" si="15"/>
        <v>220</v>
      </c>
      <c r="R25" s="50">
        <f t="shared" si="15"/>
        <v>220</v>
      </c>
      <c r="S25" s="50">
        <f t="shared" si="15"/>
        <v>220</v>
      </c>
      <c r="T25" s="50">
        <f t="shared" si="15"/>
        <v>220</v>
      </c>
      <c r="U25" s="50">
        <f t="shared" si="15"/>
        <v>220</v>
      </c>
      <c r="V25" s="50">
        <f t="shared" si="15"/>
        <v>220</v>
      </c>
      <c r="W25" s="5">
        <f t="shared" ref="W25:X25" si="16">W20+SUM(W21:W24)</f>
        <v>0</v>
      </c>
      <c r="X25" s="5">
        <f t="shared" si="16"/>
        <v>0</v>
      </c>
    </row>
    <row r="26" spans="2:24" x14ac:dyDescent="0.25"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s="113" customFormat="1" x14ac:dyDescent="0.25">
      <c r="B27" s="114" t="s">
        <v>27</v>
      </c>
      <c r="C27" s="90"/>
      <c r="D27" s="114" t="s">
        <v>44</v>
      </c>
      <c r="E27" s="90" t="s">
        <v>0</v>
      </c>
      <c r="F27" s="90" t="s">
        <v>226</v>
      </c>
      <c r="G27" s="90" t="s">
        <v>227</v>
      </c>
      <c r="H27" s="90" t="s">
        <v>228</v>
      </c>
      <c r="I27" s="90" t="s">
        <v>229</v>
      </c>
      <c r="J27" s="90" t="s">
        <v>230</v>
      </c>
      <c r="K27" s="90" t="s">
        <v>231</v>
      </c>
      <c r="L27" s="90" t="s">
        <v>232</v>
      </c>
      <c r="M27" s="90" t="s">
        <v>233</v>
      </c>
      <c r="N27" s="90" t="s">
        <v>234</v>
      </c>
      <c r="O27" s="90" t="s">
        <v>235</v>
      </c>
      <c r="P27" s="90" t="s">
        <v>236</v>
      </c>
      <c r="Q27" s="90" t="s">
        <v>237</v>
      </c>
      <c r="R27" s="90" t="s">
        <v>238</v>
      </c>
      <c r="S27" s="90" t="s">
        <v>239</v>
      </c>
      <c r="T27" s="90" t="s">
        <v>240</v>
      </c>
      <c r="U27" s="90" t="s">
        <v>241</v>
      </c>
      <c r="V27" s="90" t="s">
        <v>242</v>
      </c>
      <c r="W27" s="90" t="s">
        <v>243</v>
      </c>
      <c r="X27" s="90" t="s">
        <v>244</v>
      </c>
    </row>
    <row r="28" spans="2:24" x14ac:dyDescent="0.25">
      <c r="B28" s="7" t="s">
        <v>7</v>
      </c>
      <c r="C28" s="8">
        <f>SUM(C25:V25)</f>
        <v>8310</v>
      </c>
      <c r="D28" s="6" t="s">
        <v>29</v>
      </c>
      <c r="E28" s="10">
        <f>C25-C29</f>
        <v>-870</v>
      </c>
      <c r="F28" s="10">
        <f>E28+D25</f>
        <v>-650</v>
      </c>
      <c r="G28" s="10">
        <f t="shared" ref="G28:X28" si="17">F28+E25</f>
        <v>-430</v>
      </c>
      <c r="H28" s="10">
        <f t="shared" si="17"/>
        <v>-210</v>
      </c>
      <c r="I28" s="10">
        <f t="shared" si="17"/>
        <v>10</v>
      </c>
      <c r="J28" s="10">
        <f t="shared" si="17"/>
        <v>230</v>
      </c>
      <c r="K28" s="10">
        <f t="shared" si="17"/>
        <v>450</v>
      </c>
      <c r="L28" s="10">
        <f t="shared" si="17"/>
        <v>670</v>
      </c>
      <c r="M28" s="10">
        <f t="shared" si="17"/>
        <v>890</v>
      </c>
      <c r="N28" s="10">
        <f t="shared" si="17"/>
        <v>1110</v>
      </c>
      <c r="O28" s="10">
        <f t="shared" si="17"/>
        <v>1330</v>
      </c>
      <c r="P28" s="10">
        <f t="shared" si="17"/>
        <v>1550</v>
      </c>
      <c r="Q28" s="10">
        <f t="shared" si="17"/>
        <v>1770</v>
      </c>
      <c r="R28" s="10">
        <f t="shared" si="17"/>
        <v>1990</v>
      </c>
      <c r="S28" s="10">
        <f t="shared" si="17"/>
        <v>2210</v>
      </c>
      <c r="T28" s="10">
        <f t="shared" si="17"/>
        <v>2430</v>
      </c>
      <c r="U28" s="10">
        <f t="shared" si="17"/>
        <v>2650</v>
      </c>
      <c r="V28" s="10">
        <f t="shared" si="17"/>
        <v>2870</v>
      </c>
      <c r="W28" s="10">
        <f t="shared" si="17"/>
        <v>3090</v>
      </c>
      <c r="X28" s="10">
        <f t="shared" si="17"/>
        <v>3310</v>
      </c>
    </row>
    <row r="29" spans="2:24" ht="30" x14ac:dyDescent="0.25">
      <c r="B29" s="60" t="s">
        <v>143</v>
      </c>
      <c r="C29" s="8">
        <v>5000</v>
      </c>
      <c r="D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x14ac:dyDescent="0.25">
      <c r="B30" s="7" t="s">
        <v>18</v>
      </c>
      <c r="C30" s="8"/>
      <c r="D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2:24" x14ac:dyDescent="0.25">
      <c r="B31" s="7" t="s">
        <v>8</v>
      </c>
      <c r="C31" s="8">
        <f>C28-C29</f>
        <v>3310</v>
      </c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2:24" x14ac:dyDescent="0.25">
      <c r="B32" s="7" t="s">
        <v>10</v>
      </c>
      <c r="C32" s="15">
        <f>C31/C29*100%</f>
        <v>0.66200000000000003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2:24" x14ac:dyDescent="0.25">
      <c r="B33" s="6"/>
      <c r="C33" s="5"/>
      <c r="D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x14ac:dyDescent="0.25">
      <c r="B34" t="s">
        <v>31</v>
      </c>
      <c r="C34" s="4">
        <v>0.05</v>
      </c>
      <c r="D34" s="6"/>
      <c r="E34" s="6"/>
    </row>
    <row r="35" spans="2:24" x14ac:dyDescent="0.25">
      <c r="B35" s="1" t="s">
        <v>6</v>
      </c>
      <c r="C35" s="5">
        <f>C25/(1+$C34)</f>
        <v>3933.333333333333</v>
      </c>
      <c r="D35" s="5">
        <f>D25/(1+$C34)^2</f>
        <v>199.54648526077096</v>
      </c>
      <c r="E35" s="5">
        <f>E25/(1+$C34)^3</f>
        <v>190.04427167692472</v>
      </c>
      <c r="F35" s="5">
        <f>F25/(1+$C34)^4</f>
        <v>180.99454445421404</v>
      </c>
      <c r="G35" s="5">
        <f>G25/(1+$C34)^5</f>
        <v>172.37575662306097</v>
      </c>
      <c r="H35" s="5">
        <f>H25/(1+$C34)^6</f>
        <v>164.16738726005809</v>
      </c>
      <c r="I35" s="5">
        <f>I25/(1+$C34)^7</f>
        <v>156.34989262862672</v>
      </c>
      <c r="J35" s="5">
        <f>J25/(1+$C34)^8</f>
        <v>148.90465964631119</v>
      </c>
      <c r="K35" s="5">
        <f>K25/(1+$C34)^9</f>
        <v>141.81396156791541</v>
      </c>
      <c r="L35" s="5">
        <f>L25/(1+$C34)^10</f>
        <v>135.06091577896706</v>
      </c>
      <c r="M35" s="5">
        <f>M25/(1+$C34)^11</f>
        <v>128.62944359901624</v>
      </c>
      <c r="N35" s="5">
        <f>N25/(1+$C34)^12</f>
        <v>122.50423199906309</v>
      </c>
      <c r="O35" s="5">
        <f>O25/(1+$C34)^13</f>
        <v>116.67069714196482</v>
      </c>
      <c r="P35" s="5">
        <f>P25/(1+$C34)^14</f>
        <v>111.11494965901414</v>
      </c>
      <c r="Q35" s="5">
        <f>Q25/(1+$C34)^15</f>
        <v>105.82376158001344</v>
      </c>
      <c r="R35" s="5">
        <f>R25/(1+$C34)^16</f>
        <v>100.78453483810804</v>
      </c>
      <c r="S35" s="5">
        <f>S25/(1+$C34)^17</f>
        <v>95.985271274388609</v>
      </c>
      <c r="T35" s="5">
        <f>T25/(1+$C34)^18</f>
        <v>91.41454407084629</v>
      </c>
      <c r="U35" s="5">
        <f>U25/(1+$C34)^19</f>
        <v>87.061470543663134</v>
      </c>
      <c r="V35" s="5">
        <f>V25/(1+$C34)^20</f>
        <v>82.915686232060125</v>
      </c>
      <c r="W35" s="5">
        <f>W25/(1+$C34)^21</f>
        <v>0</v>
      </c>
      <c r="X35" s="5">
        <f>X25/(1+$C34)^22</f>
        <v>0</v>
      </c>
    </row>
    <row r="36" spans="2:24" x14ac:dyDescent="0.25">
      <c r="B36" s="1"/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113" customFormat="1" x14ac:dyDescent="0.25">
      <c r="B37" s="123" t="s">
        <v>28</v>
      </c>
      <c r="C37" s="122"/>
      <c r="D37" s="124" t="s">
        <v>44</v>
      </c>
      <c r="E37" s="121" t="s">
        <v>0</v>
      </c>
      <c r="F37" s="121" t="s">
        <v>226</v>
      </c>
      <c r="G37" s="121" t="s">
        <v>227</v>
      </c>
      <c r="H37" s="121" t="s">
        <v>228</v>
      </c>
      <c r="I37" s="121" t="s">
        <v>229</v>
      </c>
      <c r="J37" s="121" t="s">
        <v>230</v>
      </c>
      <c r="K37" s="121" t="s">
        <v>231</v>
      </c>
      <c r="L37" s="121" t="s">
        <v>232</v>
      </c>
      <c r="M37" s="121" t="s">
        <v>233</v>
      </c>
      <c r="N37" s="121" t="s">
        <v>234</v>
      </c>
      <c r="O37" s="121" t="s">
        <v>235</v>
      </c>
      <c r="P37" s="121" t="s">
        <v>236</v>
      </c>
      <c r="Q37" s="121" t="s">
        <v>237</v>
      </c>
      <c r="R37" s="121" t="s">
        <v>238</v>
      </c>
      <c r="S37" s="121" t="s">
        <v>239</v>
      </c>
      <c r="T37" s="121" t="s">
        <v>240</v>
      </c>
      <c r="U37" s="121" t="s">
        <v>241</v>
      </c>
      <c r="V37" s="121" t="s">
        <v>242</v>
      </c>
      <c r="W37" s="121" t="s">
        <v>243</v>
      </c>
      <c r="X37" s="121" t="s">
        <v>244</v>
      </c>
    </row>
    <row r="38" spans="2:24" x14ac:dyDescent="0.25">
      <c r="B38" s="7" t="s">
        <v>15</v>
      </c>
      <c r="C38" s="8">
        <f>SUM(C35:V35)</f>
        <v>6465.4957991683186</v>
      </c>
      <c r="D38" s="6" t="s">
        <v>30</v>
      </c>
      <c r="E38" s="10">
        <f>C35-C39</f>
        <v>-1066.666666666667</v>
      </c>
      <c r="F38" s="10">
        <f>E38+D35</f>
        <v>-867.12018140589601</v>
      </c>
      <c r="G38" s="10">
        <f t="shared" ref="G38:X38" si="18">F38+E35</f>
        <v>-677.07590972897128</v>
      </c>
      <c r="H38" s="10">
        <f t="shared" si="18"/>
        <v>-496.08136527475722</v>
      </c>
      <c r="I38" s="10">
        <f t="shared" si="18"/>
        <v>-323.70560865169625</v>
      </c>
      <c r="J38" s="10">
        <f t="shared" si="18"/>
        <v>-159.53822139163816</v>
      </c>
      <c r="K38" s="10">
        <f t="shared" si="18"/>
        <v>-3.188328763011441</v>
      </c>
      <c r="L38" s="10">
        <f t="shared" si="18"/>
        <v>145.71633088329975</v>
      </c>
      <c r="M38" s="10">
        <f t="shared" si="18"/>
        <v>287.53029245121513</v>
      </c>
      <c r="N38" s="10">
        <f t="shared" si="18"/>
        <v>422.59120823018219</v>
      </c>
      <c r="O38" s="10">
        <f t="shared" si="18"/>
        <v>551.22065182919846</v>
      </c>
      <c r="P38" s="10">
        <f t="shared" si="18"/>
        <v>673.72488382826157</v>
      </c>
      <c r="Q38" s="10">
        <f t="shared" si="18"/>
        <v>790.39558097022643</v>
      </c>
      <c r="R38" s="10">
        <f t="shared" si="18"/>
        <v>901.51053062924052</v>
      </c>
      <c r="S38" s="10">
        <f t="shared" si="18"/>
        <v>1007.3342922092539</v>
      </c>
      <c r="T38" s="10">
        <f t="shared" si="18"/>
        <v>1108.1188270473619</v>
      </c>
      <c r="U38" s="10">
        <f t="shared" si="18"/>
        <v>1204.1040983217506</v>
      </c>
      <c r="V38" s="10">
        <f t="shared" si="18"/>
        <v>1295.5186423925968</v>
      </c>
      <c r="W38" s="10">
        <f t="shared" si="18"/>
        <v>1382.5801129362599</v>
      </c>
      <c r="X38" s="10">
        <f t="shared" si="18"/>
        <v>1465.49579916832</v>
      </c>
    </row>
    <row r="39" spans="2:24" x14ac:dyDescent="0.25">
      <c r="B39" s="7" t="s">
        <v>17</v>
      </c>
      <c r="C39" s="8">
        <f>C29</f>
        <v>5000</v>
      </c>
      <c r="D39" s="6"/>
    </row>
    <row r="40" spans="2:24" x14ac:dyDescent="0.25">
      <c r="B40" s="7" t="s">
        <v>18</v>
      </c>
      <c r="C40" s="8"/>
      <c r="D40" s="6"/>
    </row>
    <row r="41" spans="2:24" x14ac:dyDescent="0.25">
      <c r="B41" s="7" t="s">
        <v>14</v>
      </c>
      <c r="C41" s="8">
        <f>C38-C39</f>
        <v>1465.4957991683186</v>
      </c>
      <c r="D41" s="6"/>
    </row>
    <row r="42" spans="2:24" x14ac:dyDescent="0.25">
      <c r="B42" s="7" t="s">
        <v>9</v>
      </c>
      <c r="C42" s="15">
        <f>(C41/C39)*100%</f>
        <v>0.29309915983366375</v>
      </c>
      <c r="D42" s="151" t="s">
        <v>200</v>
      </c>
      <c r="E42" s="152"/>
      <c r="F42" s="15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5.75" thickBot="1" x14ac:dyDescent="0.3">
      <c r="E43" s="10"/>
    </row>
    <row r="44" spans="2:24" x14ac:dyDescent="0.25">
      <c r="B44" s="83" t="s">
        <v>190</v>
      </c>
      <c r="C44" s="88"/>
    </row>
    <row r="45" spans="2:24" x14ac:dyDescent="0.25">
      <c r="B45" s="42" t="s">
        <v>151</v>
      </c>
      <c r="C45" s="43" t="s">
        <v>194</v>
      </c>
    </row>
    <row r="46" spans="2:24" x14ac:dyDescent="0.25">
      <c r="B46" s="42" t="s">
        <v>152</v>
      </c>
      <c r="C46" s="43" t="s">
        <v>201</v>
      </c>
    </row>
    <row r="47" spans="2:24" x14ac:dyDescent="0.25">
      <c r="B47" s="44"/>
      <c r="C47" s="45"/>
    </row>
    <row r="48" spans="2:24" x14ac:dyDescent="0.25">
      <c r="B48" s="84" t="s">
        <v>192</v>
      </c>
      <c r="C48" s="108"/>
    </row>
    <row r="49" spans="2:3" x14ac:dyDescent="0.25">
      <c r="B49" s="42" t="s">
        <v>153</v>
      </c>
      <c r="C49" s="43" t="s">
        <v>221</v>
      </c>
    </row>
    <row r="50" spans="2:3" ht="15.75" thickBot="1" x14ac:dyDescent="0.3">
      <c r="B50" s="46" t="s">
        <v>154</v>
      </c>
      <c r="C50" s="47" t="s">
        <v>222</v>
      </c>
    </row>
  </sheetData>
  <mergeCells count="1">
    <mergeCell ref="D42:F42"/>
  </mergeCells>
  <phoneticPr fontId="6" type="noConversion"/>
  <pageMargins left="0.7" right="0.7" top="0.75" bottom="0.75" header="0.3" footer="0.3"/>
  <ignoredErrors>
    <ignoredError sqref="C19:X19" formula="1"/>
  </ignoredErrors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7"/>
  <sheetViews>
    <sheetView zoomScaleNormal="100" workbookViewId="0">
      <selection activeCell="B5" sqref="B5"/>
    </sheetView>
  </sheetViews>
  <sheetFormatPr defaultRowHeight="15" x14ac:dyDescent="0.25"/>
  <cols>
    <col min="1" max="1" width="98.7109375" customWidth="1"/>
    <col min="2" max="2" width="14.28515625" customWidth="1"/>
    <col min="3" max="3" width="20.7109375" customWidth="1"/>
    <col min="4" max="4" width="24.7109375" customWidth="1"/>
    <col min="5" max="5" width="76.7109375" customWidth="1"/>
    <col min="6" max="6" width="48.140625" customWidth="1"/>
  </cols>
  <sheetData>
    <row r="1" spans="1:15" x14ac:dyDescent="0.25">
      <c r="A1" s="75" t="s">
        <v>289</v>
      </c>
      <c r="E1" t="s">
        <v>13</v>
      </c>
    </row>
    <row r="2" spans="1:15" x14ac:dyDescent="0.25">
      <c r="A2" s="74" t="s">
        <v>306</v>
      </c>
    </row>
    <row r="3" spans="1:15" ht="45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15" x14ac:dyDescent="0.25">
      <c r="B4" s="13"/>
    </row>
    <row r="5" spans="1:15" x14ac:dyDescent="0.25">
      <c r="A5" t="s">
        <v>86</v>
      </c>
      <c r="B5" s="97">
        <f>'BC Zonneboiler'!C42</f>
        <v>0.29309915983366375</v>
      </c>
      <c r="C5" s="86"/>
      <c r="D5" s="86"/>
      <c r="E5" t="s">
        <v>81</v>
      </c>
    </row>
    <row r="6" spans="1:15" x14ac:dyDescent="0.25">
      <c r="B6" s="97"/>
      <c r="C6" s="86"/>
      <c r="D6" s="86"/>
    </row>
    <row r="7" spans="1:15" ht="30" x14ac:dyDescent="0.25">
      <c r="A7" t="s">
        <v>127</v>
      </c>
      <c r="B7" s="86"/>
      <c r="C7" s="86">
        <v>0</v>
      </c>
      <c r="D7" s="86"/>
      <c r="E7" s="103" t="s">
        <v>125</v>
      </c>
    </row>
    <row r="8" spans="1:15" x14ac:dyDescent="0.25">
      <c r="A8" t="s">
        <v>88</v>
      </c>
      <c r="B8" s="86"/>
      <c r="C8" s="86">
        <f>'BC Zonneboiler'!B4*1.9</f>
        <v>1083</v>
      </c>
      <c r="D8" s="86"/>
      <c r="E8" t="s">
        <v>124</v>
      </c>
    </row>
    <row r="9" spans="1:15" x14ac:dyDescent="0.25">
      <c r="A9" t="s">
        <v>89</v>
      </c>
      <c r="B9" s="86"/>
      <c r="C9" s="86">
        <f>C7+C8</f>
        <v>1083</v>
      </c>
      <c r="D9" s="86"/>
      <c r="E9" t="s">
        <v>126</v>
      </c>
    </row>
    <row r="10" spans="1:15" x14ac:dyDescent="0.25">
      <c r="B10" s="86"/>
      <c r="C10" s="86"/>
      <c r="D10" s="86"/>
    </row>
    <row r="11" spans="1:15" ht="30" x14ac:dyDescent="0.25">
      <c r="A11" t="s">
        <v>90</v>
      </c>
      <c r="B11" s="86"/>
      <c r="C11" s="86"/>
      <c r="D11" s="86" t="s">
        <v>202</v>
      </c>
      <c r="E11" s="55" t="s">
        <v>130</v>
      </c>
      <c r="F11" s="2" t="s">
        <v>159</v>
      </c>
    </row>
    <row r="12" spans="1:15" x14ac:dyDescent="0.25">
      <c r="B12" s="86"/>
      <c r="C12" s="86"/>
      <c r="D12" s="86"/>
      <c r="E12" t="s">
        <v>158</v>
      </c>
      <c r="F12" s="125" t="s">
        <v>203</v>
      </c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25">
      <c r="B13" s="86"/>
      <c r="C13" s="98"/>
      <c r="D13" s="86"/>
      <c r="E13" s="41"/>
      <c r="F13" s="117" t="s">
        <v>93</v>
      </c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25">
      <c r="A14" t="s">
        <v>186</v>
      </c>
      <c r="B14" s="86">
        <v>3</v>
      </c>
      <c r="C14" s="86">
        <v>4</v>
      </c>
      <c r="D14" s="86">
        <v>3</v>
      </c>
      <c r="E14" t="s">
        <v>132</v>
      </c>
      <c r="F14" s="117" t="s">
        <v>94</v>
      </c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25">
      <c r="B15" s="86"/>
      <c r="C15" s="26"/>
      <c r="D15" s="86"/>
      <c r="E15" t="s">
        <v>82</v>
      </c>
      <c r="F15" s="117" t="s">
        <v>291</v>
      </c>
      <c r="G15" s="33"/>
      <c r="H15" s="33"/>
      <c r="I15" s="33"/>
      <c r="J15" s="33"/>
      <c r="K15" s="33"/>
      <c r="L15" s="33"/>
      <c r="M15" s="33"/>
      <c r="N15" s="33"/>
      <c r="O15" s="33"/>
    </row>
    <row r="16" spans="1:15" x14ac:dyDescent="0.25">
      <c r="B16" s="86"/>
      <c r="C16" s="26"/>
      <c r="D16" s="86"/>
      <c r="F16" s="16" t="s">
        <v>95</v>
      </c>
      <c r="G16" s="33"/>
      <c r="H16" s="33"/>
      <c r="I16" s="33"/>
      <c r="J16" s="33"/>
      <c r="K16" s="33"/>
      <c r="L16" s="33"/>
      <c r="M16" s="33"/>
      <c r="N16" s="33"/>
      <c r="O16" s="33"/>
    </row>
    <row r="17" spans="1:15" x14ac:dyDescent="0.25">
      <c r="A17" t="s">
        <v>131</v>
      </c>
      <c r="B17" s="99">
        <v>0.6</v>
      </c>
      <c r="C17" s="99">
        <v>0.3</v>
      </c>
      <c r="D17" s="99">
        <v>0.1</v>
      </c>
      <c r="E17" t="s">
        <v>84</v>
      </c>
      <c r="F17" s="48" t="s">
        <v>74</v>
      </c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8.75" x14ac:dyDescent="0.3">
      <c r="B18" s="4"/>
      <c r="C18" s="4"/>
      <c r="D18" s="4"/>
      <c r="E18" s="14"/>
      <c r="F18" s="16" t="s">
        <v>96</v>
      </c>
      <c r="G18" s="33"/>
      <c r="H18" s="33"/>
      <c r="I18" s="33"/>
      <c r="J18" s="33"/>
      <c r="K18" s="33"/>
      <c r="L18" s="33"/>
      <c r="M18" s="33"/>
      <c r="N18" s="33"/>
      <c r="O18" s="33"/>
    </row>
    <row r="19" spans="1:15" x14ac:dyDescent="0.25">
      <c r="A19" s="110" t="s">
        <v>128</v>
      </c>
      <c r="B19" s="111">
        <f>B14*B17+C14*C17+D14*D17</f>
        <v>3.3</v>
      </c>
      <c r="E19" t="s">
        <v>129</v>
      </c>
      <c r="F19" s="16" t="s">
        <v>97</v>
      </c>
      <c r="G19" s="33"/>
      <c r="H19" s="33"/>
      <c r="I19" s="33"/>
      <c r="J19" s="33"/>
      <c r="K19" s="33"/>
      <c r="L19" s="33"/>
      <c r="M19" s="33"/>
      <c r="N19" s="33"/>
      <c r="O19" s="33"/>
    </row>
    <row r="20" spans="1:15" x14ac:dyDescent="0.25">
      <c r="F20" s="48" t="s">
        <v>99</v>
      </c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5">
      <c r="F21" s="48" t="s">
        <v>292</v>
      </c>
      <c r="G21" s="33"/>
      <c r="H21" s="33"/>
      <c r="I21" s="33"/>
      <c r="J21" s="33"/>
      <c r="K21" s="33"/>
      <c r="L21" s="33"/>
      <c r="M21" s="33"/>
      <c r="N21" s="33"/>
      <c r="O21" s="33"/>
    </row>
    <row r="22" spans="1:15" x14ac:dyDescent="0.25">
      <c r="F22" s="48" t="s">
        <v>100</v>
      </c>
      <c r="G22" s="33"/>
      <c r="H22" s="33"/>
      <c r="I22" s="33"/>
      <c r="J22" s="33"/>
      <c r="K22" s="33"/>
      <c r="L22" s="33"/>
      <c r="M22" s="33"/>
      <c r="N22" s="33"/>
      <c r="O22" s="33"/>
    </row>
    <row r="23" spans="1:15" x14ac:dyDescent="0.25">
      <c r="F23" s="48" t="s">
        <v>101</v>
      </c>
      <c r="G23" s="33"/>
      <c r="H23" s="33"/>
      <c r="I23" s="33"/>
      <c r="J23" s="33"/>
      <c r="K23" s="33"/>
      <c r="L23" s="33"/>
      <c r="M23" s="33"/>
      <c r="N23" s="33"/>
      <c r="O23" s="33"/>
    </row>
    <row r="24" spans="1:15" x14ac:dyDescent="0.25">
      <c r="F24" s="48" t="s">
        <v>293</v>
      </c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5">
      <c r="F25" s="48" t="s">
        <v>303</v>
      </c>
      <c r="G25" s="33"/>
      <c r="H25" s="33"/>
      <c r="I25" s="33"/>
      <c r="J25" s="33"/>
      <c r="K25" s="33"/>
      <c r="L25" s="33"/>
      <c r="M25" s="33"/>
      <c r="N25" s="33"/>
      <c r="O25" s="33"/>
    </row>
    <row r="26" spans="1:15" x14ac:dyDescent="0.25">
      <c r="F26" s="48" t="s">
        <v>102</v>
      </c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5.75" x14ac:dyDescent="0.25">
      <c r="F27" s="32" t="s">
        <v>77</v>
      </c>
      <c r="G27" s="33"/>
      <c r="H27" s="33"/>
      <c r="I27" s="33"/>
      <c r="J27" s="33"/>
      <c r="K27" s="33"/>
      <c r="L27" s="33"/>
      <c r="M27" s="33"/>
      <c r="N27" s="33"/>
      <c r="O27" s="3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S51"/>
  <sheetViews>
    <sheetView zoomScaleNormal="100" workbookViewId="0">
      <selection activeCell="A26" sqref="A26"/>
    </sheetView>
  </sheetViews>
  <sheetFormatPr defaultRowHeight="15" x14ac:dyDescent="0.25"/>
  <cols>
    <col min="1" max="1" width="17.28515625" bestFit="1" customWidth="1"/>
    <col min="2" max="2" width="85.7109375" customWidth="1"/>
    <col min="3" max="3" width="12.7109375" customWidth="1"/>
    <col min="4" max="4" width="16.7109375" customWidth="1"/>
    <col min="5" max="45" width="12.7109375" customWidth="1"/>
  </cols>
  <sheetData>
    <row r="1" spans="1:45" s="113" customFormat="1" x14ac:dyDescent="0.25">
      <c r="B1" s="112" t="s">
        <v>142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  <c r="O1" s="89" t="s">
        <v>237</v>
      </c>
      <c r="P1" s="89" t="s">
        <v>238</v>
      </c>
      <c r="Q1" s="89" t="s">
        <v>239</v>
      </c>
      <c r="R1" s="89" t="s">
        <v>240</v>
      </c>
      <c r="S1" s="89" t="s">
        <v>241</v>
      </c>
      <c r="T1" s="89" t="s">
        <v>242</v>
      </c>
      <c r="U1" s="89" t="s">
        <v>243</v>
      </c>
      <c r="V1" s="89" t="s">
        <v>244</v>
      </c>
      <c r="W1" s="89" t="s">
        <v>245</v>
      </c>
      <c r="X1" s="89" t="s">
        <v>246</v>
      </c>
      <c r="Y1" s="89" t="s">
        <v>247</v>
      </c>
      <c r="Z1" s="89" t="s">
        <v>248</v>
      </c>
      <c r="AA1" s="89" t="s">
        <v>249</v>
      </c>
      <c r="AB1" s="89" t="s">
        <v>250</v>
      </c>
      <c r="AC1" s="89" t="s">
        <v>251</v>
      </c>
      <c r="AD1" s="89" t="s">
        <v>252</v>
      </c>
      <c r="AE1" s="89" t="s">
        <v>253</v>
      </c>
      <c r="AF1" s="89" t="s">
        <v>254</v>
      </c>
      <c r="AG1" s="89" t="s">
        <v>255</v>
      </c>
      <c r="AH1" s="89" t="s">
        <v>256</v>
      </c>
      <c r="AI1" s="89" t="s">
        <v>257</v>
      </c>
      <c r="AJ1" s="89" t="s">
        <v>258</v>
      </c>
      <c r="AK1" s="89" t="s">
        <v>259</v>
      </c>
      <c r="AL1" s="89" t="s">
        <v>260</v>
      </c>
      <c r="AM1" s="89" t="s">
        <v>261</v>
      </c>
      <c r="AN1" s="89" t="s">
        <v>262</v>
      </c>
      <c r="AO1" s="89" t="s">
        <v>263</v>
      </c>
      <c r="AP1" s="89" t="s">
        <v>264</v>
      </c>
      <c r="AQ1" s="89" t="s">
        <v>265</v>
      </c>
      <c r="AR1" s="89" t="s">
        <v>266</v>
      </c>
      <c r="AS1" s="89" t="s">
        <v>267</v>
      </c>
    </row>
    <row r="2" spans="1:45" x14ac:dyDescent="0.25">
      <c r="B2" s="2" t="s">
        <v>62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x14ac:dyDescent="0.25">
      <c r="B3" s="93" t="s">
        <v>111</v>
      </c>
      <c r="C3" s="30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x14ac:dyDescent="0.25">
      <c r="A4" t="s">
        <v>307</v>
      </c>
      <c r="B4" s="113">
        <v>-2318</v>
      </c>
      <c r="C4" s="30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x14ac:dyDescent="0.25">
      <c r="A5" t="s">
        <v>308</v>
      </c>
      <c r="B5" s="133">
        <v>952</v>
      </c>
      <c r="C5" s="54"/>
      <c r="D5" s="54"/>
      <c r="E5" s="54"/>
      <c r="F5" s="54"/>
      <c r="G5" s="54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1:45" x14ac:dyDescent="0.25">
      <c r="A6" t="s">
        <v>286</v>
      </c>
      <c r="B6" s="134">
        <v>0.22</v>
      </c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5">
      <c r="A7" t="s">
        <v>287</v>
      </c>
      <c r="B7" s="134">
        <v>0.8</v>
      </c>
      <c r="C7" s="3"/>
      <c r="D7" s="3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x14ac:dyDescent="0.25">
      <c r="B8" s="1"/>
      <c r="C8" s="82"/>
      <c r="D8" s="82"/>
      <c r="E8" s="82"/>
      <c r="F8" s="82"/>
      <c r="G8" s="8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30" x14ac:dyDescent="0.25">
      <c r="B9" s="148" t="s">
        <v>323</v>
      </c>
      <c r="C9" s="5">
        <f>$B5*$B7+$B4*$B6</f>
        <v>251.64000000000004</v>
      </c>
      <c r="D9" s="5">
        <f t="shared" ref="D9:AP9" si="0">$B5*$B7+$B4*$B6</f>
        <v>251.64000000000004</v>
      </c>
      <c r="E9" s="5">
        <f t="shared" si="0"/>
        <v>251.64000000000004</v>
      </c>
      <c r="F9" s="5">
        <f t="shared" si="0"/>
        <v>251.64000000000004</v>
      </c>
      <c r="G9" s="5">
        <f t="shared" si="0"/>
        <v>251.64000000000004</v>
      </c>
      <c r="H9" s="5">
        <f t="shared" si="0"/>
        <v>251.64000000000004</v>
      </c>
      <c r="I9" s="5">
        <f t="shared" si="0"/>
        <v>251.64000000000004</v>
      </c>
      <c r="J9" s="5">
        <f t="shared" si="0"/>
        <v>251.64000000000004</v>
      </c>
      <c r="K9" s="5">
        <f t="shared" si="0"/>
        <v>251.64000000000004</v>
      </c>
      <c r="L9" s="5">
        <f t="shared" si="0"/>
        <v>251.64000000000004</v>
      </c>
      <c r="M9" s="5">
        <f t="shared" si="0"/>
        <v>251.64000000000004</v>
      </c>
      <c r="N9" s="5">
        <f t="shared" si="0"/>
        <v>251.64000000000004</v>
      </c>
      <c r="O9" s="5">
        <f t="shared" si="0"/>
        <v>251.64000000000004</v>
      </c>
      <c r="P9" s="5">
        <f t="shared" si="0"/>
        <v>251.64000000000004</v>
      </c>
      <c r="Q9" s="5">
        <f t="shared" si="0"/>
        <v>251.64000000000004</v>
      </c>
      <c r="R9" s="5">
        <f t="shared" si="0"/>
        <v>251.64000000000004</v>
      </c>
      <c r="S9" s="5">
        <f t="shared" si="0"/>
        <v>251.64000000000004</v>
      </c>
      <c r="T9" s="5">
        <f t="shared" si="0"/>
        <v>251.64000000000004</v>
      </c>
      <c r="U9" s="5">
        <f t="shared" si="0"/>
        <v>251.64000000000004</v>
      </c>
      <c r="V9" s="5">
        <f t="shared" si="0"/>
        <v>251.64000000000004</v>
      </c>
      <c r="W9" s="5">
        <f t="shared" si="0"/>
        <v>251.64000000000004</v>
      </c>
      <c r="X9" s="5">
        <f t="shared" si="0"/>
        <v>251.64000000000004</v>
      </c>
      <c r="Y9" s="5">
        <f t="shared" si="0"/>
        <v>251.64000000000004</v>
      </c>
      <c r="Z9" s="5">
        <f t="shared" si="0"/>
        <v>251.64000000000004</v>
      </c>
      <c r="AA9" s="5">
        <f t="shared" si="0"/>
        <v>251.64000000000004</v>
      </c>
      <c r="AB9" s="5">
        <f t="shared" si="0"/>
        <v>251.64000000000004</v>
      </c>
      <c r="AC9" s="5">
        <f t="shared" si="0"/>
        <v>251.64000000000004</v>
      </c>
      <c r="AD9" s="5">
        <f t="shared" si="0"/>
        <v>251.64000000000004</v>
      </c>
      <c r="AE9" s="5">
        <f t="shared" si="0"/>
        <v>251.64000000000004</v>
      </c>
      <c r="AF9" s="5">
        <f t="shared" si="0"/>
        <v>251.64000000000004</v>
      </c>
      <c r="AG9" s="5">
        <f t="shared" si="0"/>
        <v>251.64000000000004</v>
      </c>
      <c r="AH9" s="5">
        <f t="shared" si="0"/>
        <v>251.64000000000004</v>
      </c>
      <c r="AI9" s="5">
        <f t="shared" si="0"/>
        <v>251.64000000000004</v>
      </c>
      <c r="AJ9" s="5">
        <f t="shared" si="0"/>
        <v>251.64000000000004</v>
      </c>
      <c r="AK9" s="5">
        <f t="shared" si="0"/>
        <v>251.64000000000004</v>
      </c>
      <c r="AL9" s="5">
        <f t="shared" si="0"/>
        <v>251.64000000000004</v>
      </c>
      <c r="AM9" s="5">
        <f t="shared" si="0"/>
        <v>251.64000000000004</v>
      </c>
      <c r="AN9" s="5">
        <f t="shared" si="0"/>
        <v>251.64000000000004</v>
      </c>
      <c r="AO9" s="5">
        <f t="shared" si="0"/>
        <v>251.64000000000004</v>
      </c>
      <c r="AP9" s="5">
        <f t="shared" si="0"/>
        <v>251.64000000000004</v>
      </c>
      <c r="AQ9" s="5"/>
      <c r="AR9" s="5"/>
      <c r="AS9" s="5"/>
    </row>
    <row r="10" spans="1:45" x14ac:dyDescent="0.25">
      <c r="B10" t="s">
        <v>49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x14ac:dyDescent="0.25">
      <c r="B11" t="s">
        <v>50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x14ac:dyDescent="0.25">
      <c r="B12" t="s">
        <v>48</v>
      </c>
      <c r="C12" s="6">
        <v>50</v>
      </c>
      <c r="D12" s="6">
        <v>50</v>
      </c>
      <c r="E12" s="6">
        <v>50</v>
      </c>
      <c r="F12" s="6">
        <v>50</v>
      </c>
      <c r="G12" s="6">
        <v>50</v>
      </c>
      <c r="H12" s="6">
        <v>50</v>
      </c>
      <c r="I12" s="6">
        <v>50</v>
      </c>
      <c r="J12" s="6">
        <v>50</v>
      </c>
      <c r="K12" s="6">
        <v>50</v>
      </c>
      <c r="L12" s="6">
        <v>50</v>
      </c>
      <c r="M12" s="6">
        <v>50</v>
      </c>
      <c r="N12" s="6">
        <v>50</v>
      </c>
      <c r="O12" s="6">
        <v>50</v>
      </c>
      <c r="P12" s="6">
        <v>50</v>
      </c>
      <c r="Q12" s="6">
        <v>50</v>
      </c>
      <c r="R12" s="6">
        <v>50</v>
      </c>
      <c r="S12" s="6">
        <v>50</v>
      </c>
      <c r="T12" s="6">
        <v>50</v>
      </c>
      <c r="U12" s="6">
        <v>50</v>
      </c>
      <c r="V12" s="6">
        <v>50</v>
      </c>
      <c r="W12" s="6">
        <v>50</v>
      </c>
      <c r="X12" s="6">
        <v>50</v>
      </c>
      <c r="Y12" s="6">
        <v>50</v>
      </c>
      <c r="Z12" s="6">
        <v>50</v>
      </c>
      <c r="AA12" s="6">
        <v>50</v>
      </c>
      <c r="AB12" s="6">
        <v>50</v>
      </c>
      <c r="AC12" s="6">
        <v>50</v>
      </c>
      <c r="AD12" s="6">
        <v>50</v>
      </c>
      <c r="AE12" s="6">
        <v>50</v>
      </c>
      <c r="AF12" s="6">
        <v>50</v>
      </c>
      <c r="AG12" s="6">
        <v>50</v>
      </c>
      <c r="AH12" s="6">
        <v>50</v>
      </c>
      <c r="AI12" s="6">
        <v>50</v>
      </c>
      <c r="AJ12" s="6">
        <v>50</v>
      </c>
      <c r="AK12" s="6">
        <v>50</v>
      </c>
      <c r="AL12" s="6">
        <v>50</v>
      </c>
      <c r="AM12" s="6">
        <v>50</v>
      </c>
      <c r="AN12" s="6">
        <v>50</v>
      </c>
      <c r="AO12" s="6">
        <v>50</v>
      </c>
      <c r="AP12" s="6">
        <v>50</v>
      </c>
      <c r="AQ12" s="6"/>
      <c r="AR12" s="5"/>
      <c r="AS12" s="5"/>
    </row>
    <row r="13" spans="1:45" x14ac:dyDescent="0.25">
      <c r="B13" t="s">
        <v>19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x14ac:dyDescent="0.25">
      <c r="B14" t="s">
        <v>21</v>
      </c>
      <c r="C14" s="6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x14ac:dyDescent="0.25">
      <c r="B15" s="1" t="s">
        <v>1</v>
      </c>
      <c r="C15" s="5">
        <f>C9-SUM(C10:C14)</f>
        <v>201.64000000000004</v>
      </c>
      <c r="D15" s="5">
        <f>D9-SUM(D10:D14)</f>
        <v>201.64000000000004</v>
      </c>
      <c r="E15" s="5">
        <f>E9-SUM(E10:E14)</f>
        <v>201.64000000000004</v>
      </c>
      <c r="F15" s="5">
        <f>F9-SUM(F10:F14)</f>
        <v>201.64000000000004</v>
      </c>
      <c r="G15" s="5">
        <f>G9-SUM(G10:G14)</f>
        <v>201.64000000000004</v>
      </c>
      <c r="H15" s="5">
        <f t="shared" ref="H15:AQ15" si="1">H9-SUM(H10:H14)</f>
        <v>201.64000000000004</v>
      </c>
      <c r="I15" s="5">
        <f t="shared" si="1"/>
        <v>201.64000000000004</v>
      </c>
      <c r="J15" s="5">
        <f t="shared" si="1"/>
        <v>201.64000000000004</v>
      </c>
      <c r="K15" s="5">
        <f t="shared" si="1"/>
        <v>201.64000000000004</v>
      </c>
      <c r="L15" s="5">
        <f t="shared" si="1"/>
        <v>201.64000000000004</v>
      </c>
      <c r="M15" s="5">
        <f t="shared" si="1"/>
        <v>201.64000000000004</v>
      </c>
      <c r="N15" s="5">
        <f t="shared" si="1"/>
        <v>201.64000000000004</v>
      </c>
      <c r="O15" s="5">
        <f t="shared" si="1"/>
        <v>201.64000000000004</v>
      </c>
      <c r="P15" s="5">
        <f t="shared" si="1"/>
        <v>201.64000000000004</v>
      </c>
      <c r="Q15" s="5">
        <f t="shared" si="1"/>
        <v>201.64000000000004</v>
      </c>
      <c r="R15" s="5">
        <f t="shared" si="1"/>
        <v>201.64000000000004</v>
      </c>
      <c r="S15" s="5">
        <f t="shared" si="1"/>
        <v>201.64000000000004</v>
      </c>
      <c r="T15" s="5">
        <f t="shared" si="1"/>
        <v>201.64000000000004</v>
      </c>
      <c r="U15" s="5">
        <f t="shared" si="1"/>
        <v>201.64000000000004</v>
      </c>
      <c r="V15" s="5">
        <f t="shared" si="1"/>
        <v>201.64000000000004</v>
      </c>
      <c r="W15" s="5">
        <f t="shared" si="1"/>
        <v>201.64000000000004</v>
      </c>
      <c r="X15" s="5">
        <f t="shared" si="1"/>
        <v>201.64000000000004</v>
      </c>
      <c r="Y15" s="5">
        <f t="shared" si="1"/>
        <v>201.64000000000004</v>
      </c>
      <c r="Z15" s="5">
        <f t="shared" si="1"/>
        <v>201.64000000000004</v>
      </c>
      <c r="AA15" s="5">
        <f t="shared" si="1"/>
        <v>201.64000000000004</v>
      </c>
      <c r="AB15" s="5">
        <f t="shared" si="1"/>
        <v>201.64000000000004</v>
      </c>
      <c r="AC15" s="5">
        <f t="shared" si="1"/>
        <v>201.64000000000004</v>
      </c>
      <c r="AD15" s="5">
        <f t="shared" si="1"/>
        <v>201.64000000000004</v>
      </c>
      <c r="AE15" s="5">
        <f t="shared" si="1"/>
        <v>201.64000000000004</v>
      </c>
      <c r="AF15" s="5">
        <f t="shared" si="1"/>
        <v>201.64000000000004</v>
      </c>
      <c r="AG15" s="5">
        <f t="shared" si="1"/>
        <v>201.64000000000004</v>
      </c>
      <c r="AH15" s="5">
        <f t="shared" si="1"/>
        <v>201.64000000000004</v>
      </c>
      <c r="AI15" s="5">
        <f t="shared" si="1"/>
        <v>201.64000000000004</v>
      </c>
      <c r="AJ15" s="5">
        <f t="shared" si="1"/>
        <v>201.64000000000004</v>
      </c>
      <c r="AK15" s="5">
        <f t="shared" si="1"/>
        <v>201.64000000000004</v>
      </c>
      <c r="AL15" s="5">
        <f t="shared" si="1"/>
        <v>201.64000000000004</v>
      </c>
      <c r="AM15" s="5">
        <f t="shared" si="1"/>
        <v>201.64000000000004</v>
      </c>
      <c r="AN15" s="5">
        <f t="shared" si="1"/>
        <v>201.64000000000004</v>
      </c>
      <c r="AO15" s="5">
        <f t="shared" si="1"/>
        <v>201.64000000000004</v>
      </c>
      <c r="AP15" s="5">
        <f t="shared" si="1"/>
        <v>201.64000000000004</v>
      </c>
      <c r="AQ15" s="5">
        <f t="shared" si="1"/>
        <v>0</v>
      </c>
      <c r="AR15" s="5"/>
      <c r="AS15" s="5"/>
    </row>
    <row r="16" spans="1:45" ht="30" x14ac:dyDescent="0.25">
      <c r="B16" s="55" t="s">
        <v>16</v>
      </c>
      <c r="C16" s="6">
        <f>$C30/15</f>
        <v>633.33333333333337</v>
      </c>
      <c r="D16" s="6">
        <f t="shared" ref="D16:Q16" si="2">$C30/15</f>
        <v>633.33333333333337</v>
      </c>
      <c r="E16" s="6">
        <f t="shared" si="2"/>
        <v>633.33333333333337</v>
      </c>
      <c r="F16" s="6">
        <f t="shared" si="2"/>
        <v>633.33333333333337</v>
      </c>
      <c r="G16" s="6">
        <f t="shared" si="2"/>
        <v>633.33333333333337</v>
      </c>
      <c r="H16" s="6">
        <f t="shared" si="2"/>
        <v>633.33333333333337</v>
      </c>
      <c r="I16" s="6">
        <f t="shared" si="2"/>
        <v>633.33333333333337</v>
      </c>
      <c r="J16" s="6">
        <f t="shared" si="2"/>
        <v>633.33333333333337</v>
      </c>
      <c r="K16" s="6">
        <f t="shared" si="2"/>
        <v>633.33333333333337</v>
      </c>
      <c r="L16" s="6">
        <f t="shared" si="2"/>
        <v>633.33333333333337</v>
      </c>
      <c r="M16" s="6">
        <f t="shared" si="2"/>
        <v>633.33333333333337</v>
      </c>
      <c r="N16" s="6">
        <f t="shared" si="2"/>
        <v>633.33333333333337</v>
      </c>
      <c r="O16" s="6">
        <f t="shared" si="2"/>
        <v>633.33333333333337</v>
      </c>
      <c r="P16" s="6">
        <f t="shared" si="2"/>
        <v>633.33333333333337</v>
      </c>
      <c r="Q16" s="6">
        <f t="shared" si="2"/>
        <v>633.33333333333337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5"/>
      <c r="AS16" s="5"/>
    </row>
    <row r="17" spans="2:45" x14ac:dyDescent="0.25">
      <c r="B17" s="1" t="s">
        <v>2</v>
      </c>
      <c r="C17" s="5">
        <f t="shared" ref="C17:AQ17" si="3">C15-C16</f>
        <v>-431.69333333333333</v>
      </c>
      <c r="D17" s="5">
        <f t="shared" si="3"/>
        <v>-431.69333333333333</v>
      </c>
      <c r="E17" s="5">
        <f t="shared" si="3"/>
        <v>-431.69333333333333</v>
      </c>
      <c r="F17" s="5">
        <f t="shared" si="3"/>
        <v>-431.69333333333333</v>
      </c>
      <c r="G17" s="5">
        <f t="shared" si="3"/>
        <v>-431.69333333333333</v>
      </c>
      <c r="H17" s="5">
        <f t="shared" si="3"/>
        <v>-431.69333333333333</v>
      </c>
      <c r="I17" s="5">
        <f t="shared" si="3"/>
        <v>-431.69333333333333</v>
      </c>
      <c r="J17" s="5">
        <f t="shared" si="3"/>
        <v>-431.69333333333333</v>
      </c>
      <c r="K17" s="5">
        <f t="shared" si="3"/>
        <v>-431.69333333333333</v>
      </c>
      <c r="L17" s="5">
        <f t="shared" si="3"/>
        <v>-431.69333333333333</v>
      </c>
      <c r="M17" s="5">
        <f t="shared" si="3"/>
        <v>-431.69333333333333</v>
      </c>
      <c r="N17" s="5">
        <f t="shared" si="3"/>
        <v>-431.69333333333333</v>
      </c>
      <c r="O17" s="5">
        <f t="shared" si="3"/>
        <v>-431.69333333333333</v>
      </c>
      <c r="P17" s="5">
        <f t="shared" si="3"/>
        <v>-431.69333333333333</v>
      </c>
      <c r="Q17" s="5">
        <f t="shared" si="3"/>
        <v>-431.69333333333333</v>
      </c>
      <c r="R17" s="5">
        <f t="shared" si="3"/>
        <v>201.64000000000004</v>
      </c>
      <c r="S17" s="5">
        <f t="shared" si="3"/>
        <v>201.64000000000004</v>
      </c>
      <c r="T17" s="5">
        <f t="shared" si="3"/>
        <v>201.64000000000004</v>
      </c>
      <c r="U17" s="5">
        <f t="shared" si="3"/>
        <v>201.64000000000004</v>
      </c>
      <c r="V17" s="5">
        <f t="shared" si="3"/>
        <v>201.64000000000004</v>
      </c>
      <c r="W17" s="5">
        <f t="shared" si="3"/>
        <v>201.64000000000004</v>
      </c>
      <c r="X17" s="5">
        <f t="shared" si="3"/>
        <v>201.64000000000004</v>
      </c>
      <c r="Y17" s="5">
        <f t="shared" si="3"/>
        <v>201.64000000000004</v>
      </c>
      <c r="Z17" s="5">
        <f t="shared" si="3"/>
        <v>201.64000000000004</v>
      </c>
      <c r="AA17" s="5">
        <f t="shared" si="3"/>
        <v>201.64000000000004</v>
      </c>
      <c r="AB17" s="5">
        <f t="shared" si="3"/>
        <v>201.64000000000004</v>
      </c>
      <c r="AC17" s="5">
        <f t="shared" si="3"/>
        <v>201.64000000000004</v>
      </c>
      <c r="AD17" s="5">
        <f t="shared" si="3"/>
        <v>201.64000000000004</v>
      </c>
      <c r="AE17" s="5">
        <f t="shared" si="3"/>
        <v>201.64000000000004</v>
      </c>
      <c r="AF17" s="5">
        <f t="shared" si="3"/>
        <v>201.64000000000004</v>
      </c>
      <c r="AG17" s="5">
        <f t="shared" si="3"/>
        <v>201.64000000000004</v>
      </c>
      <c r="AH17" s="5">
        <f t="shared" si="3"/>
        <v>201.64000000000004</v>
      </c>
      <c r="AI17" s="5">
        <f t="shared" si="3"/>
        <v>201.64000000000004</v>
      </c>
      <c r="AJ17" s="5">
        <f t="shared" si="3"/>
        <v>201.64000000000004</v>
      </c>
      <c r="AK17" s="5">
        <f t="shared" si="3"/>
        <v>201.64000000000004</v>
      </c>
      <c r="AL17" s="5">
        <f t="shared" si="3"/>
        <v>201.64000000000004</v>
      </c>
      <c r="AM17" s="5">
        <f t="shared" si="3"/>
        <v>201.64000000000004</v>
      </c>
      <c r="AN17" s="5">
        <f t="shared" si="3"/>
        <v>201.64000000000004</v>
      </c>
      <c r="AO17" s="5">
        <f t="shared" si="3"/>
        <v>201.64000000000004</v>
      </c>
      <c r="AP17" s="5">
        <f t="shared" si="3"/>
        <v>201.64000000000004</v>
      </c>
      <c r="AQ17" s="5">
        <f t="shared" si="3"/>
        <v>0</v>
      </c>
      <c r="AR17" s="5"/>
      <c r="AS17" s="5"/>
    </row>
    <row r="18" spans="2:45" x14ac:dyDescent="0.25">
      <c r="B18" t="s">
        <v>23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5"/>
      <c r="AS18" s="5"/>
    </row>
    <row r="19" spans="2:45" x14ac:dyDescent="0.25">
      <c r="B19" s="1" t="s">
        <v>3</v>
      </c>
      <c r="C19" s="5">
        <f t="shared" ref="C19:AQ19" si="4">C17-C18</f>
        <v>-431.69333333333333</v>
      </c>
      <c r="D19" s="5">
        <f t="shared" si="4"/>
        <v>-431.69333333333333</v>
      </c>
      <c r="E19" s="5">
        <f t="shared" si="4"/>
        <v>-431.69333333333333</v>
      </c>
      <c r="F19" s="5">
        <f t="shared" si="4"/>
        <v>-431.69333333333333</v>
      </c>
      <c r="G19" s="5">
        <f t="shared" si="4"/>
        <v>-431.69333333333333</v>
      </c>
      <c r="H19" s="5">
        <f t="shared" si="4"/>
        <v>-431.69333333333333</v>
      </c>
      <c r="I19" s="5">
        <f t="shared" si="4"/>
        <v>-431.69333333333333</v>
      </c>
      <c r="J19" s="5">
        <f t="shared" si="4"/>
        <v>-431.69333333333333</v>
      </c>
      <c r="K19" s="5">
        <f t="shared" si="4"/>
        <v>-431.69333333333333</v>
      </c>
      <c r="L19" s="5">
        <f t="shared" si="4"/>
        <v>-431.69333333333333</v>
      </c>
      <c r="M19" s="5">
        <f t="shared" si="4"/>
        <v>-431.69333333333333</v>
      </c>
      <c r="N19" s="5">
        <f t="shared" si="4"/>
        <v>-431.69333333333333</v>
      </c>
      <c r="O19" s="5">
        <f t="shared" si="4"/>
        <v>-431.69333333333333</v>
      </c>
      <c r="P19" s="5">
        <f t="shared" si="4"/>
        <v>-431.69333333333333</v>
      </c>
      <c r="Q19" s="5">
        <f t="shared" si="4"/>
        <v>-431.69333333333333</v>
      </c>
      <c r="R19" s="5">
        <f t="shared" si="4"/>
        <v>201.64000000000004</v>
      </c>
      <c r="S19" s="5">
        <f t="shared" si="4"/>
        <v>201.64000000000004</v>
      </c>
      <c r="T19" s="5">
        <f t="shared" si="4"/>
        <v>201.64000000000004</v>
      </c>
      <c r="U19" s="5">
        <f t="shared" si="4"/>
        <v>201.64000000000004</v>
      </c>
      <c r="V19" s="5">
        <f t="shared" si="4"/>
        <v>201.64000000000004</v>
      </c>
      <c r="W19" s="5">
        <f t="shared" si="4"/>
        <v>201.64000000000004</v>
      </c>
      <c r="X19" s="5">
        <f t="shared" si="4"/>
        <v>201.64000000000004</v>
      </c>
      <c r="Y19" s="5">
        <f t="shared" si="4"/>
        <v>201.64000000000004</v>
      </c>
      <c r="Z19" s="5">
        <f t="shared" si="4"/>
        <v>201.64000000000004</v>
      </c>
      <c r="AA19" s="5">
        <f t="shared" si="4"/>
        <v>201.64000000000004</v>
      </c>
      <c r="AB19" s="5">
        <f t="shared" si="4"/>
        <v>201.64000000000004</v>
      </c>
      <c r="AC19" s="5">
        <f t="shared" si="4"/>
        <v>201.64000000000004</v>
      </c>
      <c r="AD19" s="5">
        <f t="shared" si="4"/>
        <v>201.64000000000004</v>
      </c>
      <c r="AE19" s="5">
        <f t="shared" si="4"/>
        <v>201.64000000000004</v>
      </c>
      <c r="AF19" s="5">
        <f t="shared" si="4"/>
        <v>201.64000000000004</v>
      </c>
      <c r="AG19" s="5">
        <f t="shared" si="4"/>
        <v>201.64000000000004</v>
      </c>
      <c r="AH19" s="5">
        <f t="shared" si="4"/>
        <v>201.64000000000004</v>
      </c>
      <c r="AI19" s="5">
        <f t="shared" si="4"/>
        <v>201.64000000000004</v>
      </c>
      <c r="AJ19" s="5">
        <f t="shared" si="4"/>
        <v>201.64000000000004</v>
      </c>
      <c r="AK19" s="5">
        <f t="shared" si="4"/>
        <v>201.64000000000004</v>
      </c>
      <c r="AL19" s="5">
        <f t="shared" si="4"/>
        <v>201.64000000000004</v>
      </c>
      <c r="AM19" s="5">
        <f t="shared" si="4"/>
        <v>201.64000000000004</v>
      </c>
      <c r="AN19" s="5">
        <f t="shared" si="4"/>
        <v>201.64000000000004</v>
      </c>
      <c r="AO19" s="5">
        <f t="shared" si="4"/>
        <v>201.64000000000004</v>
      </c>
      <c r="AP19" s="5">
        <f t="shared" si="4"/>
        <v>201.64000000000004</v>
      </c>
      <c r="AQ19" s="5">
        <f t="shared" si="4"/>
        <v>0</v>
      </c>
      <c r="AR19" s="5"/>
      <c r="AS19" s="5"/>
    </row>
    <row r="20" spans="2:45" x14ac:dyDescent="0.25">
      <c r="B20" t="s">
        <v>20</v>
      </c>
      <c r="C20" s="6">
        <f>0.25*C19</f>
        <v>-107.92333333333333</v>
      </c>
      <c r="D20" s="6">
        <f t="shared" ref="D20:AQ20" si="5">0.25*D19</f>
        <v>-107.92333333333333</v>
      </c>
      <c r="E20" s="6">
        <f t="shared" si="5"/>
        <v>-107.92333333333333</v>
      </c>
      <c r="F20" s="6">
        <f t="shared" si="5"/>
        <v>-107.92333333333333</v>
      </c>
      <c r="G20" s="6">
        <f t="shared" si="5"/>
        <v>-107.92333333333333</v>
      </c>
      <c r="H20" s="6">
        <f t="shared" si="5"/>
        <v>-107.92333333333333</v>
      </c>
      <c r="I20" s="6">
        <f t="shared" si="5"/>
        <v>-107.92333333333333</v>
      </c>
      <c r="J20" s="6">
        <f t="shared" si="5"/>
        <v>-107.92333333333333</v>
      </c>
      <c r="K20" s="6">
        <f t="shared" si="5"/>
        <v>-107.92333333333333</v>
      </c>
      <c r="L20" s="6">
        <f t="shared" si="5"/>
        <v>-107.92333333333333</v>
      </c>
      <c r="M20" s="6">
        <f t="shared" si="5"/>
        <v>-107.92333333333333</v>
      </c>
      <c r="N20" s="6">
        <f t="shared" si="5"/>
        <v>-107.92333333333333</v>
      </c>
      <c r="O20" s="6">
        <f t="shared" si="5"/>
        <v>-107.92333333333333</v>
      </c>
      <c r="P20" s="6">
        <f t="shared" si="5"/>
        <v>-107.92333333333333</v>
      </c>
      <c r="Q20" s="6">
        <f t="shared" si="5"/>
        <v>-107.92333333333333</v>
      </c>
      <c r="R20" s="6">
        <f t="shared" si="5"/>
        <v>50.410000000000011</v>
      </c>
      <c r="S20" s="6">
        <f t="shared" si="5"/>
        <v>50.410000000000011</v>
      </c>
      <c r="T20" s="6">
        <f t="shared" si="5"/>
        <v>50.410000000000011</v>
      </c>
      <c r="U20" s="6">
        <f t="shared" si="5"/>
        <v>50.410000000000011</v>
      </c>
      <c r="V20" s="6">
        <f t="shared" si="5"/>
        <v>50.410000000000011</v>
      </c>
      <c r="W20" s="6">
        <f t="shared" si="5"/>
        <v>50.410000000000011</v>
      </c>
      <c r="X20" s="6">
        <f t="shared" si="5"/>
        <v>50.410000000000011</v>
      </c>
      <c r="Y20" s="6">
        <f t="shared" si="5"/>
        <v>50.410000000000011</v>
      </c>
      <c r="Z20" s="6">
        <f t="shared" si="5"/>
        <v>50.410000000000011</v>
      </c>
      <c r="AA20" s="6">
        <f t="shared" si="5"/>
        <v>50.410000000000011</v>
      </c>
      <c r="AB20" s="6">
        <f t="shared" si="5"/>
        <v>50.410000000000011</v>
      </c>
      <c r="AC20" s="6">
        <f t="shared" si="5"/>
        <v>50.410000000000011</v>
      </c>
      <c r="AD20" s="6">
        <f t="shared" si="5"/>
        <v>50.410000000000011</v>
      </c>
      <c r="AE20" s="6">
        <f t="shared" si="5"/>
        <v>50.410000000000011</v>
      </c>
      <c r="AF20" s="6">
        <f t="shared" si="5"/>
        <v>50.410000000000011</v>
      </c>
      <c r="AG20" s="6">
        <f t="shared" si="5"/>
        <v>50.410000000000011</v>
      </c>
      <c r="AH20" s="6">
        <f t="shared" si="5"/>
        <v>50.410000000000011</v>
      </c>
      <c r="AI20" s="6">
        <f t="shared" si="5"/>
        <v>50.410000000000011</v>
      </c>
      <c r="AJ20" s="6">
        <f t="shared" si="5"/>
        <v>50.410000000000011</v>
      </c>
      <c r="AK20" s="6">
        <f t="shared" si="5"/>
        <v>50.410000000000011</v>
      </c>
      <c r="AL20" s="6">
        <f t="shared" si="5"/>
        <v>50.410000000000011</v>
      </c>
      <c r="AM20" s="6">
        <f t="shared" si="5"/>
        <v>50.410000000000011</v>
      </c>
      <c r="AN20" s="6">
        <f t="shared" si="5"/>
        <v>50.410000000000011</v>
      </c>
      <c r="AO20" s="6">
        <f t="shared" si="5"/>
        <v>50.410000000000011</v>
      </c>
      <c r="AP20" s="6">
        <f t="shared" si="5"/>
        <v>50.410000000000011</v>
      </c>
      <c r="AQ20" s="6">
        <f t="shared" si="5"/>
        <v>0</v>
      </c>
      <c r="AR20" s="5"/>
      <c r="AS20" s="5"/>
    </row>
    <row r="21" spans="2:45" x14ac:dyDescent="0.25">
      <c r="B21" s="1" t="s">
        <v>4</v>
      </c>
      <c r="C21" s="5">
        <f t="shared" ref="C21:AQ21" si="6">C19-C20</f>
        <v>-323.77</v>
      </c>
      <c r="D21" s="5">
        <f t="shared" si="6"/>
        <v>-323.77</v>
      </c>
      <c r="E21" s="5">
        <f t="shared" si="6"/>
        <v>-323.77</v>
      </c>
      <c r="F21" s="5">
        <f t="shared" si="6"/>
        <v>-323.77</v>
      </c>
      <c r="G21" s="5">
        <f t="shared" si="6"/>
        <v>-323.77</v>
      </c>
      <c r="H21" s="5">
        <f t="shared" si="6"/>
        <v>-323.77</v>
      </c>
      <c r="I21" s="5">
        <f t="shared" si="6"/>
        <v>-323.77</v>
      </c>
      <c r="J21" s="5">
        <f t="shared" si="6"/>
        <v>-323.77</v>
      </c>
      <c r="K21" s="5">
        <f t="shared" si="6"/>
        <v>-323.77</v>
      </c>
      <c r="L21" s="5">
        <f t="shared" si="6"/>
        <v>-323.77</v>
      </c>
      <c r="M21" s="5">
        <f t="shared" si="6"/>
        <v>-323.77</v>
      </c>
      <c r="N21" s="5">
        <f t="shared" si="6"/>
        <v>-323.77</v>
      </c>
      <c r="O21" s="5">
        <f t="shared" si="6"/>
        <v>-323.77</v>
      </c>
      <c r="P21" s="5">
        <f t="shared" si="6"/>
        <v>-323.77</v>
      </c>
      <c r="Q21" s="5">
        <f t="shared" si="6"/>
        <v>-323.77</v>
      </c>
      <c r="R21" s="5">
        <f t="shared" si="6"/>
        <v>151.23000000000002</v>
      </c>
      <c r="S21" s="5">
        <f t="shared" si="6"/>
        <v>151.23000000000002</v>
      </c>
      <c r="T21" s="5">
        <f t="shared" si="6"/>
        <v>151.23000000000002</v>
      </c>
      <c r="U21" s="5">
        <f t="shared" si="6"/>
        <v>151.23000000000002</v>
      </c>
      <c r="V21" s="5">
        <f t="shared" si="6"/>
        <v>151.23000000000002</v>
      </c>
      <c r="W21" s="5">
        <f t="shared" si="6"/>
        <v>151.23000000000002</v>
      </c>
      <c r="X21" s="5">
        <f t="shared" si="6"/>
        <v>151.23000000000002</v>
      </c>
      <c r="Y21" s="5">
        <f t="shared" si="6"/>
        <v>151.23000000000002</v>
      </c>
      <c r="Z21" s="5">
        <f t="shared" si="6"/>
        <v>151.23000000000002</v>
      </c>
      <c r="AA21" s="5">
        <f t="shared" si="6"/>
        <v>151.23000000000002</v>
      </c>
      <c r="AB21" s="5">
        <f t="shared" si="6"/>
        <v>151.23000000000002</v>
      </c>
      <c r="AC21" s="5">
        <f t="shared" si="6"/>
        <v>151.23000000000002</v>
      </c>
      <c r="AD21" s="5">
        <f t="shared" si="6"/>
        <v>151.23000000000002</v>
      </c>
      <c r="AE21" s="5">
        <f t="shared" si="6"/>
        <v>151.23000000000002</v>
      </c>
      <c r="AF21" s="5">
        <f t="shared" si="6"/>
        <v>151.23000000000002</v>
      </c>
      <c r="AG21" s="5">
        <f t="shared" si="6"/>
        <v>151.23000000000002</v>
      </c>
      <c r="AH21" s="5">
        <f t="shared" si="6"/>
        <v>151.23000000000002</v>
      </c>
      <c r="AI21" s="5">
        <f t="shared" si="6"/>
        <v>151.23000000000002</v>
      </c>
      <c r="AJ21" s="5">
        <f t="shared" si="6"/>
        <v>151.23000000000002</v>
      </c>
      <c r="AK21" s="5">
        <f t="shared" si="6"/>
        <v>151.23000000000002</v>
      </c>
      <c r="AL21" s="5">
        <f t="shared" si="6"/>
        <v>151.23000000000002</v>
      </c>
      <c r="AM21" s="5">
        <f t="shared" si="6"/>
        <v>151.23000000000002</v>
      </c>
      <c r="AN21" s="5">
        <f t="shared" si="6"/>
        <v>151.23000000000002</v>
      </c>
      <c r="AO21" s="5">
        <f t="shared" si="6"/>
        <v>151.23000000000002</v>
      </c>
      <c r="AP21" s="5">
        <f t="shared" si="6"/>
        <v>151.23000000000002</v>
      </c>
      <c r="AQ21" s="5">
        <f t="shared" si="6"/>
        <v>0</v>
      </c>
      <c r="AR21" s="5"/>
      <c r="AS21" s="5"/>
    </row>
    <row r="22" spans="2:45" x14ac:dyDescent="0.25">
      <c r="B22" s="2" t="s">
        <v>61</v>
      </c>
      <c r="C22" s="6">
        <f>C16</f>
        <v>633.33333333333337</v>
      </c>
      <c r="D22" s="6">
        <f>D16</f>
        <v>633.33333333333337</v>
      </c>
      <c r="E22" s="6">
        <f>E16</f>
        <v>633.33333333333337</v>
      </c>
      <c r="F22" s="6">
        <f>F16</f>
        <v>633.33333333333337</v>
      </c>
      <c r="G22" s="6">
        <f>G16</f>
        <v>633.33333333333337</v>
      </c>
      <c r="H22" s="6">
        <f t="shared" ref="H22:AQ22" si="7">H16</f>
        <v>633.33333333333337</v>
      </c>
      <c r="I22" s="6">
        <f t="shared" si="7"/>
        <v>633.33333333333337</v>
      </c>
      <c r="J22" s="6">
        <f t="shared" si="7"/>
        <v>633.33333333333337</v>
      </c>
      <c r="K22" s="6">
        <f t="shared" si="7"/>
        <v>633.33333333333337</v>
      </c>
      <c r="L22" s="6">
        <f t="shared" si="7"/>
        <v>633.33333333333337</v>
      </c>
      <c r="M22" s="6">
        <f t="shared" si="7"/>
        <v>633.33333333333337</v>
      </c>
      <c r="N22" s="6">
        <f t="shared" si="7"/>
        <v>633.33333333333337</v>
      </c>
      <c r="O22" s="6">
        <f t="shared" si="7"/>
        <v>633.33333333333337</v>
      </c>
      <c r="P22" s="6">
        <f t="shared" si="7"/>
        <v>633.33333333333337</v>
      </c>
      <c r="Q22" s="6">
        <f t="shared" si="7"/>
        <v>633.33333333333337</v>
      </c>
      <c r="R22" s="6">
        <f t="shared" si="7"/>
        <v>0</v>
      </c>
      <c r="S22" s="6">
        <f t="shared" si="7"/>
        <v>0</v>
      </c>
      <c r="T22" s="6">
        <f t="shared" si="7"/>
        <v>0</v>
      </c>
      <c r="U22" s="6">
        <f t="shared" si="7"/>
        <v>0</v>
      </c>
      <c r="V22" s="6">
        <f t="shared" si="7"/>
        <v>0</v>
      </c>
      <c r="W22" s="6">
        <f t="shared" si="7"/>
        <v>0</v>
      </c>
      <c r="X22" s="6">
        <f t="shared" si="7"/>
        <v>0</v>
      </c>
      <c r="Y22" s="6">
        <f t="shared" si="7"/>
        <v>0</v>
      </c>
      <c r="Z22" s="6">
        <f t="shared" si="7"/>
        <v>0</v>
      </c>
      <c r="AA22" s="6">
        <f t="shared" si="7"/>
        <v>0</v>
      </c>
      <c r="AB22" s="6">
        <f t="shared" si="7"/>
        <v>0</v>
      </c>
      <c r="AC22" s="6">
        <f t="shared" si="7"/>
        <v>0</v>
      </c>
      <c r="AD22" s="6">
        <f t="shared" si="7"/>
        <v>0</v>
      </c>
      <c r="AE22" s="6">
        <f t="shared" si="7"/>
        <v>0</v>
      </c>
      <c r="AF22" s="6">
        <f t="shared" si="7"/>
        <v>0</v>
      </c>
      <c r="AG22" s="6">
        <f t="shared" si="7"/>
        <v>0</v>
      </c>
      <c r="AH22" s="6">
        <f t="shared" si="7"/>
        <v>0</v>
      </c>
      <c r="AI22" s="6">
        <f t="shared" si="7"/>
        <v>0</v>
      </c>
      <c r="AJ22" s="6">
        <f t="shared" si="7"/>
        <v>0</v>
      </c>
      <c r="AK22" s="6">
        <f t="shared" si="7"/>
        <v>0</v>
      </c>
      <c r="AL22" s="6">
        <f t="shared" si="7"/>
        <v>0</v>
      </c>
      <c r="AM22" s="6">
        <f t="shared" si="7"/>
        <v>0</v>
      </c>
      <c r="AN22" s="6">
        <f t="shared" si="7"/>
        <v>0</v>
      </c>
      <c r="AO22" s="6">
        <f t="shared" si="7"/>
        <v>0</v>
      </c>
      <c r="AP22" s="6">
        <f t="shared" si="7"/>
        <v>0</v>
      </c>
      <c r="AQ22" s="6">
        <f t="shared" si="7"/>
        <v>0</v>
      </c>
      <c r="AR22" s="5"/>
      <c r="AS22" s="5"/>
    </row>
    <row r="23" spans="2:45" x14ac:dyDescent="0.25">
      <c r="B23" s="2" t="s">
        <v>45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/>
      <c r="S23" s="6"/>
      <c r="T23" s="6"/>
      <c r="U23" s="6"/>
      <c r="V23" s="6"/>
      <c r="W23" s="6"/>
      <c r="X23" s="6"/>
      <c r="Y23" s="6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2:45" ht="30" x14ac:dyDescent="0.25">
      <c r="B24" s="59" t="s">
        <v>114</v>
      </c>
      <c r="C24" s="6">
        <v>2600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x14ac:dyDescent="0.25">
      <c r="B25" s="2" t="s">
        <v>33</v>
      </c>
      <c r="C25" s="6">
        <f>C30*0.5</f>
        <v>4750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x14ac:dyDescent="0.25">
      <c r="B26" s="1" t="s">
        <v>5</v>
      </c>
      <c r="C26" s="5">
        <f t="shared" ref="C26:H26" si="8">C21+SUM(C22:C25)</f>
        <v>7659.5633333333335</v>
      </c>
      <c r="D26" s="5">
        <f t="shared" si="8"/>
        <v>309.56333333333339</v>
      </c>
      <c r="E26" s="5">
        <f t="shared" si="8"/>
        <v>309.56333333333339</v>
      </c>
      <c r="F26" s="5">
        <f t="shared" si="8"/>
        <v>309.56333333333339</v>
      </c>
      <c r="G26" s="5">
        <f t="shared" si="8"/>
        <v>309.56333333333339</v>
      </c>
      <c r="H26" s="5">
        <f t="shared" si="8"/>
        <v>309.56333333333339</v>
      </c>
      <c r="I26" s="5">
        <f t="shared" ref="I26:AQ26" si="9">I21+SUM(I22:I25)</f>
        <v>309.56333333333339</v>
      </c>
      <c r="J26" s="5">
        <f t="shared" si="9"/>
        <v>309.56333333333339</v>
      </c>
      <c r="K26" s="5">
        <f t="shared" si="9"/>
        <v>309.56333333333339</v>
      </c>
      <c r="L26" s="5">
        <f t="shared" si="9"/>
        <v>309.56333333333339</v>
      </c>
      <c r="M26" s="5">
        <f t="shared" si="9"/>
        <v>309.56333333333339</v>
      </c>
      <c r="N26" s="5">
        <f t="shared" si="9"/>
        <v>309.56333333333339</v>
      </c>
      <c r="O26" s="5">
        <f t="shared" si="9"/>
        <v>309.56333333333339</v>
      </c>
      <c r="P26" s="5">
        <f t="shared" si="9"/>
        <v>309.56333333333339</v>
      </c>
      <c r="Q26" s="5">
        <f t="shared" si="9"/>
        <v>309.56333333333339</v>
      </c>
      <c r="R26" s="5">
        <f t="shared" si="9"/>
        <v>151.23000000000002</v>
      </c>
      <c r="S26" s="5">
        <f t="shared" si="9"/>
        <v>151.23000000000002</v>
      </c>
      <c r="T26" s="5">
        <f t="shared" si="9"/>
        <v>151.23000000000002</v>
      </c>
      <c r="U26" s="5">
        <f t="shared" si="9"/>
        <v>151.23000000000002</v>
      </c>
      <c r="V26" s="5">
        <f t="shared" si="9"/>
        <v>151.23000000000002</v>
      </c>
      <c r="W26" s="5">
        <f t="shared" si="9"/>
        <v>151.23000000000002</v>
      </c>
      <c r="X26" s="5">
        <f t="shared" si="9"/>
        <v>151.23000000000002</v>
      </c>
      <c r="Y26" s="5">
        <f t="shared" si="9"/>
        <v>151.23000000000002</v>
      </c>
      <c r="Z26" s="5">
        <f t="shared" si="9"/>
        <v>151.23000000000002</v>
      </c>
      <c r="AA26" s="5">
        <f t="shared" si="9"/>
        <v>151.23000000000002</v>
      </c>
      <c r="AB26" s="5">
        <f t="shared" si="9"/>
        <v>151.23000000000002</v>
      </c>
      <c r="AC26" s="5">
        <f t="shared" si="9"/>
        <v>151.23000000000002</v>
      </c>
      <c r="AD26" s="5">
        <f t="shared" si="9"/>
        <v>151.23000000000002</v>
      </c>
      <c r="AE26" s="5">
        <f t="shared" si="9"/>
        <v>151.23000000000002</v>
      </c>
      <c r="AF26" s="5">
        <f t="shared" si="9"/>
        <v>151.23000000000002</v>
      </c>
      <c r="AG26" s="5">
        <f t="shared" si="9"/>
        <v>151.23000000000002</v>
      </c>
      <c r="AH26" s="5">
        <f t="shared" si="9"/>
        <v>151.23000000000002</v>
      </c>
      <c r="AI26" s="5">
        <f t="shared" si="9"/>
        <v>151.23000000000002</v>
      </c>
      <c r="AJ26" s="5">
        <f t="shared" si="9"/>
        <v>151.23000000000002</v>
      </c>
      <c r="AK26" s="5">
        <f t="shared" si="9"/>
        <v>151.23000000000002</v>
      </c>
      <c r="AL26" s="5">
        <f t="shared" si="9"/>
        <v>151.23000000000002</v>
      </c>
      <c r="AM26" s="5">
        <f t="shared" si="9"/>
        <v>151.23000000000002</v>
      </c>
      <c r="AN26" s="5">
        <f t="shared" si="9"/>
        <v>151.23000000000002</v>
      </c>
      <c r="AO26" s="5">
        <f t="shared" si="9"/>
        <v>151.23000000000002</v>
      </c>
      <c r="AP26" s="5">
        <f t="shared" si="9"/>
        <v>151.23000000000002</v>
      </c>
      <c r="AQ26" s="5">
        <f t="shared" si="9"/>
        <v>0</v>
      </c>
      <c r="AR26" s="5"/>
      <c r="AS26" s="5"/>
    </row>
    <row r="27" spans="2:45" x14ac:dyDescent="0.25"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2:45" x14ac:dyDescent="0.25">
      <c r="B28" s="21" t="s">
        <v>27</v>
      </c>
      <c r="C28" s="21"/>
      <c r="D28" s="21" t="s">
        <v>44</v>
      </c>
      <c r="E28" s="21" t="s">
        <v>0</v>
      </c>
      <c r="F28" s="21" t="s">
        <v>226</v>
      </c>
      <c r="G28" s="21" t="s">
        <v>227</v>
      </c>
      <c r="H28" s="21" t="s">
        <v>228</v>
      </c>
      <c r="I28" s="21" t="s">
        <v>229</v>
      </c>
      <c r="J28" s="21" t="s">
        <v>230</v>
      </c>
      <c r="K28" s="21" t="s">
        <v>231</v>
      </c>
      <c r="L28" s="21" t="s">
        <v>232</v>
      </c>
      <c r="M28" s="21" t="s">
        <v>233</v>
      </c>
      <c r="N28" s="21" t="s">
        <v>234</v>
      </c>
      <c r="O28" s="21" t="s">
        <v>235</v>
      </c>
      <c r="P28" s="21" t="s">
        <v>236</v>
      </c>
      <c r="Q28" s="21" t="s">
        <v>237</v>
      </c>
      <c r="R28" s="21" t="s">
        <v>238</v>
      </c>
      <c r="S28" s="21" t="s">
        <v>239</v>
      </c>
      <c r="T28" s="21" t="s">
        <v>240</v>
      </c>
      <c r="U28" s="21" t="s">
        <v>241</v>
      </c>
      <c r="V28" s="21" t="s">
        <v>242</v>
      </c>
      <c r="W28" s="21" t="s">
        <v>243</v>
      </c>
      <c r="X28" s="21" t="s">
        <v>244</v>
      </c>
      <c r="Y28" s="21" t="s">
        <v>245</v>
      </c>
      <c r="Z28" s="21" t="s">
        <v>246</v>
      </c>
      <c r="AA28" s="21" t="s">
        <v>247</v>
      </c>
      <c r="AB28" s="21" t="s">
        <v>248</v>
      </c>
      <c r="AC28" s="21" t="s">
        <v>249</v>
      </c>
      <c r="AD28" s="21" t="s">
        <v>250</v>
      </c>
      <c r="AE28" s="21" t="s">
        <v>251</v>
      </c>
      <c r="AF28" s="21" t="s">
        <v>252</v>
      </c>
      <c r="AG28" s="21" t="s">
        <v>253</v>
      </c>
      <c r="AH28" s="21" t="s">
        <v>254</v>
      </c>
      <c r="AI28" s="21" t="s">
        <v>255</v>
      </c>
      <c r="AJ28" s="21" t="s">
        <v>256</v>
      </c>
      <c r="AK28" s="21" t="s">
        <v>257</v>
      </c>
      <c r="AL28" s="21" t="s">
        <v>258</v>
      </c>
      <c r="AM28" s="21" t="s">
        <v>259</v>
      </c>
      <c r="AN28" s="21" t="s">
        <v>260</v>
      </c>
      <c r="AO28" s="21" t="s">
        <v>261</v>
      </c>
      <c r="AP28" s="21" t="s">
        <v>262</v>
      </c>
      <c r="AQ28" s="21" t="s">
        <v>263</v>
      </c>
      <c r="AR28" s="21" t="s">
        <v>264</v>
      </c>
      <c r="AS28" s="21" t="s">
        <v>265</v>
      </c>
    </row>
    <row r="29" spans="2:45" x14ac:dyDescent="0.25">
      <c r="B29" s="7" t="s">
        <v>7</v>
      </c>
      <c r="C29" s="8">
        <f>SUM(C26:AP26)</f>
        <v>15774.199999999992</v>
      </c>
      <c r="D29" s="6" t="s">
        <v>29</v>
      </c>
      <c r="E29" s="10">
        <f>C26-C30</f>
        <v>-1840.4366666666665</v>
      </c>
      <c r="F29" s="10">
        <f>E29+D26</f>
        <v>-1530.873333333333</v>
      </c>
      <c r="G29" s="10">
        <f t="shared" ref="G29:AC29" si="10">F29+E26</f>
        <v>-1221.3099999999995</v>
      </c>
      <c r="H29" s="10">
        <f t="shared" si="10"/>
        <v>-911.7466666666661</v>
      </c>
      <c r="I29" s="10">
        <f t="shared" si="10"/>
        <v>-602.18333333333271</v>
      </c>
      <c r="J29" s="10">
        <f t="shared" si="10"/>
        <v>-292.61999999999932</v>
      </c>
      <c r="K29" s="10">
        <f t="shared" si="10"/>
        <v>16.943333333334067</v>
      </c>
      <c r="L29" s="10">
        <f t="shared" si="10"/>
        <v>326.50666666666746</v>
      </c>
      <c r="M29" s="10">
        <f t="shared" si="10"/>
        <v>636.07000000000085</v>
      </c>
      <c r="N29" s="10">
        <f t="shared" si="10"/>
        <v>945.63333333333424</v>
      </c>
      <c r="O29" s="10">
        <f t="shared" si="10"/>
        <v>1255.1966666666676</v>
      </c>
      <c r="P29" s="10">
        <f t="shared" si="10"/>
        <v>1564.7600000000011</v>
      </c>
      <c r="Q29" s="10">
        <f t="shared" si="10"/>
        <v>1874.3233333333346</v>
      </c>
      <c r="R29" s="10">
        <f t="shared" si="10"/>
        <v>2183.8866666666681</v>
      </c>
      <c r="S29" s="10">
        <f t="shared" si="10"/>
        <v>2493.4500000000016</v>
      </c>
      <c r="T29" s="10">
        <f t="shared" si="10"/>
        <v>2644.6800000000017</v>
      </c>
      <c r="U29" s="10">
        <f t="shared" si="10"/>
        <v>2795.9100000000017</v>
      </c>
      <c r="V29" s="10">
        <f t="shared" si="10"/>
        <v>2947.1400000000017</v>
      </c>
      <c r="W29" s="10">
        <f t="shared" si="10"/>
        <v>3098.3700000000017</v>
      </c>
      <c r="X29" s="10">
        <f t="shared" si="10"/>
        <v>3249.6000000000017</v>
      </c>
      <c r="Y29" s="10">
        <f t="shared" si="10"/>
        <v>3400.8300000000017</v>
      </c>
      <c r="Z29" s="10">
        <f t="shared" si="10"/>
        <v>3552.0600000000018</v>
      </c>
      <c r="AA29" s="10">
        <f t="shared" si="10"/>
        <v>3703.2900000000018</v>
      </c>
      <c r="AB29" s="10">
        <f t="shared" si="10"/>
        <v>3854.5200000000018</v>
      </c>
      <c r="AC29" s="10">
        <f t="shared" si="10"/>
        <v>4005.7500000000018</v>
      </c>
      <c r="AD29" s="10">
        <f t="shared" ref="AD29" si="11">AC29+AB26</f>
        <v>4156.9800000000014</v>
      </c>
      <c r="AE29" s="10">
        <f t="shared" ref="AE29" si="12">AD29+AC26</f>
        <v>4308.2100000000009</v>
      </c>
      <c r="AF29" s="10">
        <f t="shared" ref="AF29" si="13">AE29+AD26</f>
        <v>4459.4400000000005</v>
      </c>
      <c r="AG29" s="10">
        <f t="shared" ref="AG29" si="14">AF29+AE26</f>
        <v>4610.67</v>
      </c>
      <c r="AH29" s="10">
        <f t="shared" ref="AH29" si="15">AG29+AF26</f>
        <v>4761.8999999999996</v>
      </c>
      <c r="AI29" s="10">
        <f t="shared" ref="AI29" si="16">AH29+AG26</f>
        <v>4913.1299999999992</v>
      </c>
      <c r="AJ29" s="10">
        <f t="shared" ref="AJ29" si="17">AI29+AH26</f>
        <v>5064.3599999999988</v>
      </c>
      <c r="AK29" s="10">
        <f t="shared" ref="AK29" si="18">AJ29+AI26</f>
        <v>5215.5899999999983</v>
      </c>
      <c r="AL29" s="10">
        <f t="shared" ref="AL29" si="19">AK29+AJ26</f>
        <v>5366.8199999999979</v>
      </c>
      <c r="AM29" s="10">
        <f t="shared" ref="AM29" si="20">AL29+AK26</f>
        <v>5518.0499999999975</v>
      </c>
      <c r="AN29" s="10">
        <f t="shared" ref="AN29" si="21">AM29+AL26</f>
        <v>5669.279999999997</v>
      </c>
      <c r="AO29" s="10">
        <f t="shared" ref="AO29" si="22">AN29+AM26</f>
        <v>5820.5099999999966</v>
      </c>
      <c r="AP29" s="10">
        <f t="shared" ref="AP29" si="23">AO29+AN26</f>
        <v>5971.7399999999961</v>
      </c>
      <c r="AQ29" s="10">
        <f t="shared" ref="AQ29" si="24">AP29+AO26</f>
        <v>6122.9699999999957</v>
      </c>
      <c r="AR29" s="10">
        <f t="shared" ref="AR29" si="25">AQ29+AP26</f>
        <v>6274.1999999999953</v>
      </c>
      <c r="AS29" s="10"/>
    </row>
    <row r="30" spans="2:45" x14ac:dyDescent="0.25">
      <c r="B30" s="67" t="s">
        <v>63</v>
      </c>
      <c r="C30" s="8">
        <v>9500</v>
      </c>
      <c r="D30" s="5"/>
      <c r="G30" t="s">
        <v>150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45" x14ac:dyDescent="0.25">
      <c r="B31" s="7" t="s">
        <v>18</v>
      </c>
      <c r="C31" s="8"/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45" x14ac:dyDescent="0.25">
      <c r="B32" s="7" t="s">
        <v>8</v>
      </c>
      <c r="C32" s="8">
        <f>C29-C30</f>
        <v>6274.1999999999916</v>
      </c>
      <c r="D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45" x14ac:dyDescent="0.25">
      <c r="B33" s="29" t="s">
        <v>10</v>
      </c>
      <c r="C33" s="15">
        <f>C32/C30*100%</f>
        <v>0.66044210526315705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45" x14ac:dyDescent="0.25">
      <c r="B34" s="19"/>
      <c r="C34" s="2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45" x14ac:dyDescent="0.25">
      <c r="B35" t="s">
        <v>31</v>
      </c>
      <c r="C35" s="4">
        <v>0.05</v>
      </c>
      <c r="D35" s="6"/>
      <c r="E35" s="6"/>
    </row>
    <row r="36" spans="2:45" x14ac:dyDescent="0.25">
      <c r="B36" s="1" t="s">
        <v>6</v>
      </c>
      <c r="C36" s="5">
        <f>C26/(1+$C35)</f>
        <v>7294.8222222222221</v>
      </c>
      <c r="D36" s="5">
        <f>D26/(1+$C35)^2</f>
        <v>280.78306878306881</v>
      </c>
      <c r="E36" s="5">
        <f>E26/(1+$C35)^3</f>
        <v>267.41244646006555</v>
      </c>
      <c r="F36" s="5">
        <f>F26/(1+$C35)^4</f>
        <v>254.67852043815768</v>
      </c>
      <c r="G36" s="5">
        <f>G26/(1+$C35)^5</f>
        <v>242.55097184586444</v>
      </c>
      <c r="H36" s="5">
        <f>H26/(1+$C35)^6</f>
        <v>231.00092556748996</v>
      </c>
      <c r="I36" s="5">
        <f>I26/(1+$C35)^7</f>
        <v>220.00088149284753</v>
      </c>
      <c r="J36" s="5">
        <f>J26/(1+$C35)^8</f>
        <v>209.52464904080719</v>
      </c>
      <c r="K36" s="5">
        <f>K26/(1+$C35)^9</f>
        <v>199.54728480076875</v>
      </c>
      <c r="L36" s="5">
        <f>L26/(1+$C35)^10</f>
        <v>190.04503314358928</v>
      </c>
      <c r="M36" s="5">
        <f>M26/(1+$C35)^11</f>
        <v>180.99526966056121</v>
      </c>
      <c r="N36" s="5">
        <f>N26/(1+$C35)^12</f>
        <v>172.37644729577261</v>
      </c>
      <c r="O36" s="5">
        <f>O26/(1+$C35)^13</f>
        <v>164.16804504359294</v>
      </c>
      <c r="P36" s="5">
        <f>P26/(1+$C35)^14</f>
        <v>156.35051908913616</v>
      </c>
      <c r="Q36" s="5">
        <f>Q26/(1+$C35)^15</f>
        <v>148.90525627536772</v>
      </c>
      <c r="R36" s="5">
        <f>R26/(1+$C35)^16</f>
        <v>69.280205470759469</v>
      </c>
      <c r="S36" s="5">
        <f>S26/(1+$C35)^17</f>
        <v>65.981148067389952</v>
      </c>
      <c r="T36" s="5">
        <f>T26/(1+$C35)^18</f>
        <v>62.839188635609482</v>
      </c>
      <c r="U36" s="5">
        <f>U26/(1+$C35)^19</f>
        <v>59.846846319628078</v>
      </c>
      <c r="V36" s="5">
        <f>V26/(1+$C35)^20</f>
        <v>56.996996494883888</v>
      </c>
      <c r="W36" s="5">
        <f>W26/(1+$C35)^21</f>
        <v>54.282853804651324</v>
      </c>
      <c r="X36" s="5">
        <f>X26/(1+$C35)^22</f>
        <v>51.697956004429834</v>
      </c>
      <c r="Y36" s="5">
        <f>Y26/(1+$C35)^23</f>
        <v>49.236148575647448</v>
      </c>
      <c r="Z36" s="5">
        <f>Z26/(1+$C35)^24</f>
        <v>46.891570072045198</v>
      </c>
      <c r="AA36" s="5">
        <f>AA26/(1+$C35)^25</f>
        <v>44.658638163852565</v>
      </c>
      <c r="AB36" s="5">
        <f>AB26/(1+$C35)^26</f>
        <v>42.532036346526255</v>
      </c>
      <c r="AC36" s="5">
        <f>AC26/(1+$C35)^27</f>
        <v>40.506701282405949</v>
      </c>
      <c r="AD36" s="5">
        <f>AD26/(1+$C35)^28</f>
        <v>38.577810745148533</v>
      </c>
      <c r="AE36" s="5">
        <f>AE26/(1+$C35)^29</f>
        <v>36.740772138236693</v>
      </c>
      <c r="AF36" s="5">
        <f>AF26/(1+$C35)^30</f>
        <v>34.99121156022543</v>
      </c>
      <c r="AG36" s="5">
        <f>AG26/(1+$C35)^31</f>
        <v>33.324963390690876</v>
      </c>
      <c r="AH36" s="5">
        <f>AH26/(1+$C35)^32</f>
        <v>31.738060372086547</v>
      </c>
      <c r="AI36" s="5">
        <f>AI26/(1+$C35)^33</f>
        <v>30.226724163891951</v>
      </c>
      <c r="AJ36" s="5">
        <f>AJ26/(1+$C35)^34</f>
        <v>28.787356346563765</v>
      </c>
      <c r="AK36" s="5">
        <f>AK26/(1+$C35)^35</f>
        <v>27.416529853870248</v>
      </c>
      <c r="AL36" s="5">
        <f>AL26/(1+$C35)^36</f>
        <v>26.110980813209764</v>
      </c>
      <c r="AM36" s="5">
        <f>AM26/(1+$C35)^37</f>
        <v>24.867600774485485</v>
      </c>
      <c r="AN36" s="5">
        <f>AN26/(1+$C35)^38</f>
        <v>23.683429309033802</v>
      </c>
      <c r="AO36" s="5">
        <f>AO26/(1+$C35)^39</f>
        <v>22.555646960984568</v>
      </c>
      <c r="AP36" s="5">
        <f>AP26/(1+$C35)^40</f>
        <v>21.48156853427102</v>
      </c>
      <c r="AQ36" s="5">
        <f>AQ26/(1+$C35)^41</f>
        <v>0</v>
      </c>
    </row>
    <row r="37" spans="2:45" x14ac:dyDescent="0.25">
      <c r="B37" s="1"/>
      <c r="C37" s="5"/>
      <c r="D37" s="5"/>
      <c r="E37" s="5"/>
      <c r="F37" s="5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45" x14ac:dyDescent="0.25">
      <c r="B38" s="22" t="s">
        <v>28</v>
      </c>
      <c r="C38" s="23"/>
      <c r="D38" s="27" t="s">
        <v>44</v>
      </c>
      <c r="E38" s="27" t="s">
        <v>0</v>
      </c>
      <c r="F38" s="27" t="s">
        <v>226</v>
      </c>
      <c r="G38" s="27" t="s">
        <v>227</v>
      </c>
      <c r="H38" s="27" t="s">
        <v>228</v>
      </c>
      <c r="I38" s="27" t="s">
        <v>229</v>
      </c>
      <c r="J38" s="27" t="s">
        <v>230</v>
      </c>
      <c r="K38" s="27" t="s">
        <v>231</v>
      </c>
      <c r="L38" s="27" t="s">
        <v>232</v>
      </c>
      <c r="M38" s="27" t="s">
        <v>233</v>
      </c>
      <c r="N38" s="27" t="s">
        <v>234</v>
      </c>
      <c r="O38" s="27" t="s">
        <v>235</v>
      </c>
      <c r="P38" s="27" t="s">
        <v>236</v>
      </c>
      <c r="Q38" s="27" t="s">
        <v>237</v>
      </c>
      <c r="R38" s="27" t="s">
        <v>238</v>
      </c>
      <c r="S38" s="27" t="s">
        <v>239</v>
      </c>
      <c r="T38" s="27" t="s">
        <v>240</v>
      </c>
      <c r="U38" s="27" t="s">
        <v>241</v>
      </c>
      <c r="V38" s="27" t="s">
        <v>242</v>
      </c>
      <c r="W38" s="27" t="s">
        <v>243</v>
      </c>
      <c r="X38" s="27" t="s">
        <v>244</v>
      </c>
      <c r="Y38" s="27" t="s">
        <v>245</v>
      </c>
      <c r="Z38" s="27" t="s">
        <v>246</v>
      </c>
      <c r="AA38" s="27" t="s">
        <v>247</v>
      </c>
      <c r="AB38" s="27" t="s">
        <v>248</v>
      </c>
      <c r="AC38" s="27" t="s">
        <v>249</v>
      </c>
      <c r="AD38" s="27" t="s">
        <v>250</v>
      </c>
      <c r="AE38" s="27" t="s">
        <v>251</v>
      </c>
      <c r="AF38" s="27" t="s">
        <v>252</v>
      </c>
      <c r="AG38" s="27" t="s">
        <v>253</v>
      </c>
      <c r="AH38" s="27" t="s">
        <v>254</v>
      </c>
      <c r="AI38" s="27" t="s">
        <v>255</v>
      </c>
      <c r="AJ38" s="27" t="s">
        <v>256</v>
      </c>
      <c r="AK38" s="27" t="s">
        <v>257</v>
      </c>
      <c r="AL38" s="27" t="s">
        <v>258</v>
      </c>
      <c r="AM38" s="27" t="s">
        <v>259</v>
      </c>
      <c r="AN38" s="27" t="s">
        <v>260</v>
      </c>
      <c r="AO38" s="27" t="s">
        <v>261</v>
      </c>
      <c r="AP38" s="27" t="s">
        <v>262</v>
      </c>
      <c r="AQ38" s="27" t="s">
        <v>263</v>
      </c>
      <c r="AR38" s="27" t="s">
        <v>264</v>
      </c>
      <c r="AS38" s="27" t="s">
        <v>265</v>
      </c>
    </row>
    <row r="39" spans="2:45" x14ac:dyDescent="0.25">
      <c r="B39" s="7" t="s">
        <v>15</v>
      </c>
      <c r="C39" s="8">
        <f>SUM(C36:AP36)</f>
        <v>11238.414485359835</v>
      </c>
      <c r="D39" s="6" t="s">
        <v>30</v>
      </c>
      <c r="E39" s="10">
        <f>C36-C40</f>
        <v>-2205.1777777777779</v>
      </c>
      <c r="F39" s="10">
        <f>E39+D36</f>
        <v>-1924.3947089947092</v>
      </c>
      <c r="G39" s="10">
        <f t="shared" ref="G39:AC39" si="26">F39+E36</f>
        <v>-1656.9822625346437</v>
      </c>
      <c r="H39" s="10">
        <f t="shared" si="26"/>
        <v>-1402.3037420964861</v>
      </c>
      <c r="I39" s="10">
        <f t="shared" si="26"/>
        <v>-1159.7527702506216</v>
      </c>
      <c r="J39" s="10">
        <f t="shared" si="26"/>
        <v>-928.75184468313159</v>
      </c>
      <c r="K39" s="10">
        <f t="shared" si="26"/>
        <v>-708.7509631902841</v>
      </c>
      <c r="L39" s="10">
        <f t="shared" si="26"/>
        <v>-499.22631414947693</v>
      </c>
      <c r="M39" s="10">
        <f t="shared" si="26"/>
        <v>-299.67902934870818</v>
      </c>
      <c r="N39" s="10">
        <f t="shared" si="26"/>
        <v>-109.6339962051189</v>
      </c>
      <c r="O39" s="10">
        <f t="shared" si="26"/>
        <v>71.361273455442301</v>
      </c>
      <c r="P39" s="10">
        <f t="shared" si="26"/>
        <v>243.73772075121491</v>
      </c>
      <c r="Q39" s="10">
        <f t="shared" si="26"/>
        <v>407.90576579480785</v>
      </c>
      <c r="R39" s="10">
        <f t="shared" si="26"/>
        <v>564.25628488394398</v>
      </c>
      <c r="S39" s="10">
        <f t="shared" si="26"/>
        <v>713.1615411593117</v>
      </c>
      <c r="T39" s="10">
        <f t="shared" si="26"/>
        <v>782.44174663007118</v>
      </c>
      <c r="U39" s="10">
        <f t="shared" si="26"/>
        <v>848.42289469746117</v>
      </c>
      <c r="V39" s="10">
        <f t="shared" si="26"/>
        <v>911.26208333307068</v>
      </c>
      <c r="W39" s="10">
        <f t="shared" si="26"/>
        <v>971.10892965269875</v>
      </c>
      <c r="X39" s="10">
        <f t="shared" si="26"/>
        <v>1028.1059261475825</v>
      </c>
      <c r="Y39" s="10">
        <f t="shared" si="26"/>
        <v>1082.3887799522338</v>
      </c>
      <c r="Z39" s="10">
        <f t="shared" si="26"/>
        <v>1134.0867359566637</v>
      </c>
      <c r="AA39" s="10">
        <f t="shared" si="26"/>
        <v>1183.322884532311</v>
      </c>
      <c r="AB39" s="10">
        <f t="shared" si="26"/>
        <v>1230.2144546043562</v>
      </c>
      <c r="AC39" s="10">
        <f t="shared" si="26"/>
        <v>1274.8730927682088</v>
      </c>
      <c r="AD39" s="10">
        <f t="shared" ref="AD39" si="27">AC39+AB36</f>
        <v>1317.405129114735</v>
      </c>
      <c r="AE39" s="10">
        <f t="shared" ref="AE39" si="28">AD39+AC36</f>
        <v>1357.9118303971409</v>
      </c>
      <c r="AF39" s="10">
        <f t="shared" ref="AF39" si="29">AE39+AD36</f>
        <v>1396.4896411422894</v>
      </c>
      <c r="AG39" s="10">
        <f t="shared" ref="AG39" si="30">AF39+AE36</f>
        <v>1433.2304132805261</v>
      </c>
      <c r="AH39" s="10">
        <f t="shared" ref="AH39" si="31">AG39+AF36</f>
        <v>1468.2216248407515</v>
      </c>
      <c r="AI39" s="10">
        <f t="shared" ref="AI39" si="32">AH39+AG36</f>
        <v>1501.5465882314425</v>
      </c>
      <c r="AJ39" s="10">
        <f t="shared" ref="AJ39" si="33">AI39+AH36</f>
        <v>1533.2846486035289</v>
      </c>
      <c r="AK39" s="10">
        <f t="shared" ref="AK39" si="34">AJ39+AI36</f>
        <v>1563.5113727674209</v>
      </c>
      <c r="AL39" s="10">
        <f t="shared" ref="AL39" si="35">AK39+AJ36</f>
        <v>1592.2987291139846</v>
      </c>
      <c r="AM39" s="10">
        <f t="shared" ref="AM39" si="36">AL39+AK36</f>
        <v>1619.7152589678549</v>
      </c>
      <c r="AN39" s="10">
        <f t="shared" ref="AN39" si="37">AM39+AL36</f>
        <v>1645.8262397810647</v>
      </c>
      <c r="AO39" s="10">
        <f t="shared" ref="AO39" si="38">AN39+AM36</f>
        <v>1670.6938405555502</v>
      </c>
      <c r="AP39" s="10">
        <f t="shared" ref="AP39" si="39">AO39+AN36</f>
        <v>1694.3772698645839</v>
      </c>
      <c r="AQ39" s="10">
        <f t="shared" ref="AQ39" si="40">AP39+AO36</f>
        <v>1716.9329168255686</v>
      </c>
      <c r="AR39" s="10">
        <f t="shared" ref="AR39" si="41">AQ39+AP36</f>
        <v>1738.4144853598395</v>
      </c>
      <c r="AS39" s="10"/>
    </row>
    <row r="40" spans="2:45" x14ac:dyDescent="0.25">
      <c r="B40" s="7" t="s">
        <v>17</v>
      </c>
      <c r="C40" s="8">
        <f>C30</f>
        <v>9500</v>
      </c>
      <c r="D40" s="6"/>
      <c r="G40" t="s">
        <v>144</v>
      </c>
    </row>
    <row r="41" spans="2:45" x14ac:dyDescent="0.25">
      <c r="B41" s="7" t="s">
        <v>18</v>
      </c>
      <c r="C41" s="8"/>
      <c r="D41" s="6"/>
    </row>
    <row r="42" spans="2:45" x14ac:dyDescent="0.25">
      <c r="B42" s="7" t="s">
        <v>14</v>
      </c>
      <c r="C42" s="8">
        <f>C39-C40</f>
        <v>1738.4144853598355</v>
      </c>
      <c r="D42" s="6"/>
    </row>
    <row r="43" spans="2:45" x14ac:dyDescent="0.25">
      <c r="B43" s="29" t="s">
        <v>9</v>
      </c>
      <c r="C43" s="15">
        <f>(C42/C40)*100%</f>
        <v>0.18299099845893005</v>
      </c>
      <c r="D43" s="5" t="s">
        <v>182</v>
      </c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45" ht="15.75" thickBot="1" x14ac:dyDescent="0.3">
      <c r="E44" s="10"/>
    </row>
    <row r="45" spans="2:45" x14ac:dyDescent="0.25">
      <c r="B45" s="83" t="s">
        <v>155</v>
      </c>
      <c r="C45" s="88"/>
      <c r="F45" s="2"/>
    </row>
    <row r="46" spans="2:45" x14ac:dyDescent="0.25">
      <c r="B46" s="42" t="s">
        <v>151</v>
      </c>
      <c r="C46" s="43" t="s">
        <v>218</v>
      </c>
      <c r="F46" s="2"/>
    </row>
    <row r="47" spans="2:45" x14ac:dyDescent="0.25">
      <c r="B47" s="42" t="s">
        <v>152</v>
      </c>
      <c r="C47" s="43" t="s">
        <v>157</v>
      </c>
    </row>
    <row r="48" spans="2:45" x14ac:dyDescent="0.25">
      <c r="B48" s="44"/>
      <c r="C48" s="45"/>
    </row>
    <row r="49" spans="2:3" x14ac:dyDescent="0.25">
      <c r="B49" s="84" t="s">
        <v>156</v>
      </c>
      <c r="C49" s="108"/>
    </row>
    <row r="50" spans="2:3" x14ac:dyDescent="0.25">
      <c r="B50" s="42" t="s">
        <v>153</v>
      </c>
      <c r="C50" s="43" t="s">
        <v>219</v>
      </c>
    </row>
    <row r="51" spans="2:3" ht="15.75" thickBot="1" x14ac:dyDescent="0.3">
      <c r="B51" s="46" t="s">
        <v>154</v>
      </c>
      <c r="C51" s="47" t="s">
        <v>220</v>
      </c>
    </row>
  </sheetData>
  <phoneticPr fontId="6" type="noConversion"/>
  <pageMargins left="0.7" right="0.7" top="0.75" bottom="0.75" header="0.3" footer="0.3"/>
  <pageSetup paperSize="9" orientation="portrait" verticalDpi="0" r:id="rId1"/>
  <ignoredErrors>
    <ignoredError sqref="C20:AP20" formula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6"/>
  <sheetViews>
    <sheetView workbookViewId="0">
      <selection activeCell="C8" sqref="C8"/>
    </sheetView>
  </sheetViews>
  <sheetFormatPr defaultRowHeight="15" x14ac:dyDescent="0.25"/>
  <cols>
    <col min="1" max="1" width="98.7109375" customWidth="1"/>
    <col min="2" max="2" width="14.28515625" customWidth="1"/>
    <col min="3" max="3" width="20.7109375" customWidth="1"/>
    <col min="4" max="4" width="24.7109375" customWidth="1"/>
    <col min="5" max="5" width="76.7109375" customWidth="1"/>
    <col min="6" max="6" width="88.140625" customWidth="1"/>
  </cols>
  <sheetData>
    <row r="1" spans="1:6" x14ac:dyDescent="0.25">
      <c r="A1" s="75" t="s">
        <v>289</v>
      </c>
      <c r="E1" t="s">
        <v>13</v>
      </c>
    </row>
    <row r="2" spans="1:6" x14ac:dyDescent="0.25">
      <c r="A2" s="74" t="s">
        <v>324</v>
      </c>
    </row>
    <row r="3" spans="1:6" ht="45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6" x14ac:dyDescent="0.25">
      <c r="B4" s="13"/>
    </row>
    <row r="5" spans="1:6" x14ac:dyDescent="0.25">
      <c r="A5" t="s">
        <v>86</v>
      </c>
      <c r="B5" s="97">
        <f>'BC WP-LW'!C43</f>
        <v>0.18299099845893005</v>
      </c>
      <c r="C5" s="86"/>
      <c r="D5" s="86"/>
      <c r="E5" t="s">
        <v>81</v>
      </c>
    </row>
    <row r="6" spans="1:6" x14ac:dyDescent="0.25">
      <c r="B6" s="97"/>
      <c r="C6" s="86"/>
      <c r="D6" s="86"/>
    </row>
    <row r="7" spans="1:6" ht="30" x14ac:dyDescent="0.25">
      <c r="A7" s="40" t="s">
        <v>127</v>
      </c>
      <c r="B7" s="86"/>
      <c r="C7" s="86">
        <f>'BC WP-LW'!B4*0.6</f>
        <v>-1390.8</v>
      </c>
      <c r="D7" s="86"/>
      <c r="E7" s="103" t="s">
        <v>125</v>
      </c>
    </row>
    <row r="8" spans="1:6" x14ac:dyDescent="0.25">
      <c r="A8" t="s">
        <v>88</v>
      </c>
      <c r="B8" s="86"/>
      <c r="C8" s="86">
        <f>'BC WP-LW'!B5*1.9</f>
        <v>1808.8</v>
      </c>
      <c r="D8" s="86"/>
      <c r="E8" t="s">
        <v>124</v>
      </c>
    </row>
    <row r="9" spans="1:6" x14ac:dyDescent="0.25">
      <c r="A9" t="s">
        <v>89</v>
      </c>
      <c r="B9" s="86"/>
      <c r="C9" s="86">
        <f>C7+C8</f>
        <v>418</v>
      </c>
      <c r="D9" s="86"/>
      <c r="E9" t="s">
        <v>126</v>
      </c>
    </row>
    <row r="10" spans="1:6" x14ac:dyDescent="0.25">
      <c r="B10" s="86"/>
      <c r="C10" s="86"/>
      <c r="D10" s="86"/>
    </row>
    <row r="11" spans="1:6" ht="30" x14ac:dyDescent="0.25">
      <c r="A11" t="s">
        <v>90</v>
      </c>
      <c r="B11" s="86"/>
      <c r="C11" s="86"/>
      <c r="D11" s="86" t="s">
        <v>110</v>
      </c>
      <c r="E11" s="104" t="s">
        <v>130</v>
      </c>
      <c r="F11" s="2" t="s">
        <v>92</v>
      </c>
    </row>
    <row r="12" spans="1:6" x14ac:dyDescent="0.25">
      <c r="A12" s="40"/>
      <c r="B12" s="86"/>
      <c r="C12" s="86"/>
      <c r="D12" s="86"/>
      <c r="E12" s="40" t="s">
        <v>158</v>
      </c>
      <c r="F12" s="116" t="s">
        <v>109</v>
      </c>
    </row>
    <row r="13" spans="1:6" x14ac:dyDescent="0.25">
      <c r="B13" s="86"/>
      <c r="C13" s="98"/>
      <c r="D13" s="86"/>
      <c r="E13" s="38"/>
      <c r="F13" s="25" t="s">
        <v>108</v>
      </c>
    </row>
    <row r="14" spans="1:6" x14ac:dyDescent="0.25">
      <c r="A14" s="40" t="s">
        <v>186</v>
      </c>
      <c r="B14" s="86">
        <v>2</v>
      </c>
      <c r="C14" s="86">
        <v>2</v>
      </c>
      <c r="D14" s="86">
        <v>3</v>
      </c>
      <c r="E14" s="40" t="s">
        <v>132</v>
      </c>
      <c r="F14" s="117" t="s">
        <v>94</v>
      </c>
    </row>
    <row r="15" spans="1:6" x14ac:dyDescent="0.25">
      <c r="B15" s="86"/>
      <c r="C15" s="26"/>
      <c r="D15" s="86"/>
      <c r="E15" s="40" t="s">
        <v>82</v>
      </c>
      <c r="F15" s="117" t="s">
        <v>291</v>
      </c>
    </row>
    <row r="16" spans="1:6" x14ac:dyDescent="0.25">
      <c r="B16" s="86"/>
      <c r="C16" s="26"/>
      <c r="D16" s="86"/>
      <c r="F16" s="16" t="s">
        <v>95</v>
      </c>
    </row>
    <row r="17" spans="1:6" x14ac:dyDescent="0.25">
      <c r="A17" t="s">
        <v>131</v>
      </c>
      <c r="B17" s="99">
        <v>0.6</v>
      </c>
      <c r="C17" s="99">
        <v>0.1</v>
      </c>
      <c r="D17" s="99">
        <v>0.3</v>
      </c>
      <c r="E17" s="2" t="s">
        <v>84</v>
      </c>
      <c r="F17" s="48" t="s">
        <v>74</v>
      </c>
    </row>
    <row r="18" spans="1:6" ht="18.75" x14ac:dyDescent="0.3">
      <c r="B18" s="4"/>
      <c r="C18" s="4"/>
      <c r="D18" s="4"/>
      <c r="E18" s="14"/>
      <c r="F18" s="16" t="s">
        <v>96</v>
      </c>
    </row>
    <row r="19" spans="1:6" x14ac:dyDescent="0.25">
      <c r="A19" s="110" t="s">
        <v>128</v>
      </c>
      <c r="B19" s="111">
        <f>B14*B17+C14*C17+D14*D17</f>
        <v>2.2999999999999998</v>
      </c>
      <c r="E19" s="40" t="s">
        <v>129</v>
      </c>
      <c r="F19" s="16" t="s">
        <v>97</v>
      </c>
    </row>
    <row r="20" spans="1:6" x14ac:dyDescent="0.25">
      <c r="F20" s="48" t="s">
        <v>99</v>
      </c>
    </row>
    <row r="21" spans="1:6" x14ac:dyDescent="0.25">
      <c r="F21" s="116" t="s">
        <v>305</v>
      </c>
    </row>
    <row r="22" spans="1:6" x14ac:dyDescent="0.25">
      <c r="F22" s="48" t="s">
        <v>100</v>
      </c>
    </row>
    <row r="23" spans="1:6" x14ac:dyDescent="0.25">
      <c r="F23" s="48" t="s">
        <v>101</v>
      </c>
    </row>
    <row r="24" spans="1:6" x14ac:dyDescent="0.25">
      <c r="F24" s="48" t="s">
        <v>293</v>
      </c>
    </row>
    <row r="25" spans="1:6" x14ac:dyDescent="0.25">
      <c r="F25" s="48" t="s">
        <v>304</v>
      </c>
    </row>
    <row r="26" spans="1:6" x14ac:dyDescent="0.25">
      <c r="F26" s="48" t="s">
        <v>102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S51"/>
  <sheetViews>
    <sheetView zoomScaleNormal="100" workbookViewId="0">
      <selection activeCell="B10" sqref="B10"/>
    </sheetView>
  </sheetViews>
  <sheetFormatPr defaultRowHeight="15" x14ac:dyDescent="0.25"/>
  <cols>
    <col min="1" max="1" width="17.28515625" bestFit="1" customWidth="1"/>
    <col min="2" max="2" width="85.7109375" customWidth="1"/>
    <col min="3" max="3" width="14.28515625" customWidth="1"/>
    <col min="4" max="4" width="17.140625" customWidth="1"/>
    <col min="5" max="26" width="12.140625" customWidth="1"/>
    <col min="27" max="37" width="11" customWidth="1"/>
    <col min="38" max="45" width="11.42578125" customWidth="1"/>
  </cols>
  <sheetData>
    <row r="1" spans="1:45" s="113" customFormat="1" x14ac:dyDescent="0.25">
      <c r="B1" s="112" t="s">
        <v>142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  <c r="O1" s="89" t="s">
        <v>237</v>
      </c>
      <c r="P1" s="89" t="s">
        <v>238</v>
      </c>
      <c r="Q1" s="89" t="s">
        <v>239</v>
      </c>
      <c r="R1" s="89" t="s">
        <v>240</v>
      </c>
      <c r="S1" s="89" t="s">
        <v>241</v>
      </c>
      <c r="T1" s="89" t="s">
        <v>242</v>
      </c>
      <c r="U1" s="89" t="s">
        <v>243</v>
      </c>
      <c r="V1" s="89" t="s">
        <v>244</v>
      </c>
      <c r="W1" s="89" t="s">
        <v>245</v>
      </c>
      <c r="X1" s="89" t="s">
        <v>246</v>
      </c>
      <c r="Y1" s="89" t="s">
        <v>247</v>
      </c>
      <c r="Z1" s="89" t="s">
        <v>248</v>
      </c>
      <c r="AA1" s="89" t="s">
        <v>249</v>
      </c>
      <c r="AB1" s="89" t="s">
        <v>250</v>
      </c>
      <c r="AC1" s="89" t="s">
        <v>251</v>
      </c>
      <c r="AD1" s="89" t="s">
        <v>252</v>
      </c>
      <c r="AE1" s="89" t="s">
        <v>253</v>
      </c>
      <c r="AF1" s="89" t="s">
        <v>254</v>
      </c>
      <c r="AG1" s="89" t="s">
        <v>255</v>
      </c>
      <c r="AH1" s="89" t="s">
        <v>256</v>
      </c>
      <c r="AI1" s="89" t="s">
        <v>257</v>
      </c>
      <c r="AJ1" s="89" t="s">
        <v>258</v>
      </c>
      <c r="AK1" s="89" t="s">
        <v>259</v>
      </c>
      <c r="AL1" s="89" t="s">
        <v>260</v>
      </c>
      <c r="AM1" s="89" t="s">
        <v>261</v>
      </c>
      <c r="AN1" s="89" t="s">
        <v>262</v>
      </c>
      <c r="AO1" s="89" t="s">
        <v>263</v>
      </c>
      <c r="AP1" s="89" t="s">
        <v>264</v>
      </c>
      <c r="AQ1" s="89" t="s">
        <v>265</v>
      </c>
      <c r="AR1" s="89" t="s">
        <v>266</v>
      </c>
      <c r="AS1" s="89" t="s">
        <v>267</v>
      </c>
    </row>
    <row r="2" spans="1:45" x14ac:dyDescent="0.25">
      <c r="B2" s="2" t="s">
        <v>119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x14ac:dyDescent="0.25">
      <c r="B3" s="6" t="s">
        <v>111</v>
      </c>
      <c r="C3" s="30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x14ac:dyDescent="0.25">
      <c r="A4" t="s">
        <v>307</v>
      </c>
      <c r="B4" s="113">
        <v>-11295</v>
      </c>
      <c r="C4" s="30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x14ac:dyDescent="0.25">
      <c r="A5" t="s">
        <v>308</v>
      </c>
      <c r="B5" s="133">
        <v>4608</v>
      </c>
      <c r="C5" s="54"/>
      <c r="D5" s="54"/>
      <c r="E5" s="54"/>
      <c r="F5" s="54"/>
      <c r="G5" s="54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1:45" x14ac:dyDescent="0.25">
      <c r="A6" t="s">
        <v>286</v>
      </c>
      <c r="B6" s="134">
        <v>0.22</v>
      </c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5">
      <c r="A7" t="s">
        <v>287</v>
      </c>
      <c r="B7" s="134">
        <v>0.8</v>
      </c>
      <c r="C7" s="3"/>
      <c r="D7" s="3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x14ac:dyDescent="0.25">
      <c r="B8" s="1"/>
      <c r="C8" s="82"/>
      <c r="D8" s="82"/>
      <c r="E8" s="82"/>
      <c r="F8" s="82"/>
      <c r="G8" s="8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30" x14ac:dyDescent="0.25">
      <c r="B9" s="148" t="s">
        <v>322</v>
      </c>
      <c r="C9" s="5">
        <f>$B5*$B7+$B4*$B6</f>
        <v>1201.5</v>
      </c>
      <c r="D9" s="5">
        <f t="shared" ref="D9:AP9" si="0">$B5*$B7+$B4*$B6</f>
        <v>1201.5</v>
      </c>
      <c r="E9" s="5">
        <f t="shared" si="0"/>
        <v>1201.5</v>
      </c>
      <c r="F9" s="5">
        <f t="shared" si="0"/>
        <v>1201.5</v>
      </c>
      <c r="G9" s="5">
        <f t="shared" si="0"/>
        <v>1201.5</v>
      </c>
      <c r="H9" s="5">
        <f t="shared" si="0"/>
        <v>1201.5</v>
      </c>
      <c r="I9" s="5">
        <f t="shared" si="0"/>
        <v>1201.5</v>
      </c>
      <c r="J9" s="5">
        <f t="shared" si="0"/>
        <v>1201.5</v>
      </c>
      <c r="K9" s="5">
        <f t="shared" si="0"/>
        <v>1201.5</v>
      </c>
      <c r="L9" s="5">
        <f t="shared" si="0"/>
        <v>1201.5</v>
      </c>
      <c r="M9" s="5">
        <f t="shared" si="0"/>
        <v>1201.5</v>
      </c>
      <c r="N9" s="5">
        <f t="shared" si="0"/>
        <v>1201.5</v>
      </c>
      <c r="O9" s="5">
        <f t="shared" si="0"/>
        <v>1201.5</v>
      </c>
      <c r="P9" s="5">
        <f t="shared" si="0"/>
        <v>1201.5</v>
      </c>
      <c r="Q9" s="5">
        <f t="shared" si="0"/>
        <v>1201.5</v>
      </c>
      <c r="R9" s="5">
        <f t="shared" si="0"/>
        <v>1201.5</v>
      </c>
      <c r="S9" s="5">
        <f t="shared" si="0"/>
        <v>1201.5</v>
      </c>
      <c r="T9" s="5">
        <f t="shared" si="0"/>
        <v>1201.5</v>
      </c>
      <c r="U9" s="5">
        <f t="shared" si="0"/>
        <v>1201.5</v>
      </c>
      <c r="V9" s="5">
        <f t="shared" si="0"/>
        <v>1201.5</v>
      </c>
      <c r="W9" s="5">
        <f t="shared" si="0"/>
        <v>1201.5</v>
      </c>
      <c r="X9" s="5">
        <f t="shared" si="0"/>
        <v>1201.5</v>
      </c>
      <c r="Y9" s="5">
        <f t="shared" si="0"/>
        <v>1201.5</v>
      </c>
      <c r="Z9" s="5">
        <f t="shared" si="0"/>
        <v>1201.5</v>
      </c>
      <c r="AA9" s="5">
        <f t="shared" si="0"/>
        <v>1201.5</v>
      </c>
      <c r="AB9" s="5">
        <f t="shared" si="0"/>
        <v>1201.5</v>
      </c>
      <c r="AC9" s="5">
        <f t="shared" si="0"/>
        <v>1201.5</v>
      </c>
      <c r="AD9" s="5">
        <f t="shared" si="0"/>
        <v>1201.5</v>
      </c>
      <c r="AE9" s="5">
        <f t="shared" si="0"/>
        <v>1201.5</v>
      </c>
      <c r="AF9" s="5">
        <f t="shared" si="0"/>
        <v>1201.5</v>
      </c>
      <c r="AG9" s="5">
        <f t="shared" si="0"/>
        <v>1201.5</v>
      </c>
      <c r="AH9" s="5">
        <f t="shared" si="0"/>
        <v>1201.5</v>
      </c>
      <c r="AI9" s="5">
        <f t="shared" si="0"/>
        <v>1201.5</v>
      </c>
      <c r="AJ9" s="5">
        <f t="shared" si="0"/>
        <v>1201.5</v>
      </c>
      <c r="AK9" s="5">
        <f t="shared" si="0"/>
        <v>1201.5</v>
      </c>
      <c r="AL9" s="5">
        <f t="shared" si="0"/>
        <v>1201.5</v>
      </c>
      <c r="AM9" s="5">
        <f t="shared" si="0"/>
        <v>1201.5</v>
      </c>
      <c r="AN9" s="5">
        <f t="shared" si="0"/>
        <v>1201.5</v>
      </c>
      <c r="AO9" s="5">
        <f t="shared" si="0"/>
        <v>1201.5</v>
      </c>
      <c r="AP9" s="5">
        <f t="shared" si="0"/>
        <v>1201.5</v>
      </c>
      <c r="AQ9" s="5"/>
      <c r="AR9" s="5"/>
      <c r="AS9" s="5"/>
    </row>
    <row r="10" spans="1:45" x14ac:dyDescent="0.25">
      <c r="B10" t="s">
        <v>64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x14ac:dyDescent="0.25">
      <c r="B11" t="s">
        <v>72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x14ac:dyDescent="0.25">
      <c r="B12" t="s">
        <v>48</v>
      </c>
      <c r="C12" s="6">
        <v>50</v>
      </c>
      <c r="D12" s="6">
        <v>50</v>
      </c>
      <c r="E12" s="6">
        <v>50</v>
      </c>
      <c r="F12" s="6">
        <v>50</v>
      </c>
      <c r="G12" s="6">
        <v>50</v>
      </c>
      <c r="H12" s="6">
        <v>50</v>
      </c>
      <c r="I12" s="6">
        <v>50</v>
      </c>
      <c r="J12" s="6">
        <v>50</v>
      </c>
      <c r="K12" s="6">
        <v>50</v>
      </c>
      <c r="L12" s="6">
        <v>50</v>
      </c>
      <c r="M12" s="6">
        <v>50</v>
      </c>
      <c r="N12" s="6">
        <v>50</v>
      </c>
      <c r="O12" s="6">
        <v>50</v>
      </c>
      <c r="P12" s="6">
        <v>50</v>
      </c>
      <c r="Q12" s="6">
        <v>50</v>
      </c>
      <c r="R12" s="6">
        <v>50</v>
      </c>
      <c r="S12" s="6">
        <v>50</v>
      </c>
      <c r="T12" s="6">
        <v>50</v>
      </c>
      <c r="U12" s="6">
        <v>50</v>
      </c>
      <c r="V12" s="6">
        <v>50</v>
      </c>
      <c r="W12" s="6">
        <v>50</v>
      </c>
      <c r="X12" s="6">
        <v>50</v>
      </c>
      <c r="Y12" s="6">
        <v>50</v>
      </c>
      <c r="Z12" s="6">
        <v>50</v>
      </c>
      <c r="AA12" s="6">
        <v>50</v>
      </c>
      <c r="AB12" s="6">
        <v>50</v>
      </c>
      <c r="AC12" s="6">
        <v>50</v>
      </c>
      <c r="AD12" s="6">
        <v>50</v>
      </c>
      <c r="AE12" s="6">
        <v>50</v>
      </c>
      <c r="AF12" s="6">
        <v>50</v>
      </c>
      <c r="AG12" s="6">
        <v>50</v>
      </c>
      <c r="AH12" s="6">
        <v>50</v>
      </c>
      <c r="AI12" s="6">
        <v>50</v>
      </c>
      <c r="AJ12" s="6">
        <v>50</v>
      </c>
      <c r="AK12" s="6">
        <v>50</v>
      </c>
      <c r="AL12" s="6">
        <v>50</v>
      </c>
      <c r="AM12" s="6">
        <v>50</v>
      </c>
      <c r="AN12" s="6">
        <v>50</v>
      </c>
      <c r="AO12" s="6">
        <v>50</v>
      </c>
      <c r="AP12" s="6">
        <v>50</v>
      </c>
      <c r="AQ12" s="6"/>
      <c r="AR12" s="5"/>
      <c r="AS12" s="5"/>
    </row>
    <row r="13" spans="1:45" x14ac:dyDescent="0.25">
      <c r="B13" t="s">
        <v>19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x14ac:dyDescent="0.25">
      <c r="B14" t="s">
        <v>21</v>
      </c>
      <c r="C14" s="6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x14ac:dyDescent="0.25">
      <c r="B15" s="1" t="s">
        <v>1</v>
      </c>
      <c r="C15" s="5">
        <f>C9-SUM(C10:C14)</f>
        <v>1151.5</v>
      </c>
      <c r="D15" s="5">
        <f>D9-SUM(D10:D14)</f>
        <v>1151.5</v>
      </c>
      <c r="E15" s="5">
        <f>E9-SUM(E10:E14)</f>
        <v>1151.5</v>
      </c>
      <c r="F15" s="5">
        <f>F9-SUM(F10:F14)</f>
        <v>1151.5</v>
      </c>
      <c r="G15" s="5">
        <f>G9-SUM(G10:G14)</f>
        <v>1151.5</v>
      </c>
      <c r="H15" s="5">
        <f t="shared" ref="H15:AQ15" si="1">H9-SUM(H10:H14)</f>
        <v>1151.5</v>
      </c>
      <c r="I15" s="5">
        <f t="shared" si="1"/>
        <v>1151.5</v>
      </c>
      <c r="J15" s="5">
        <f t="shared" si="1"/>
        <v>1151.5</v>
      </c>
      <c r="K15" s="5">
        <f t="shared" si="1"/>
        <v>1151.5</v>
      </c>
      <c r="L15" s="5">
        <f t="shared" si="1"/>
        <v>1151.5</v>
      </c>
      <c r="M15" s="5">
        <f t="shared" si="1"/>
        <v>1151.5</v>
      </c>
      <c r="N15" s="5">
        <f t="shared" si="1"/>
        <v>1151.5</v>
      </c>
      <c r="O15" s="5">
        <f t="shared" si="1"/>
        <v>1151.5</v>
      </c>
      <c r="P15" s="5">
        <f t="shared" si="1"/>
        <v>1151.5</v>
      </c>
      <c r="Q15" s="5">
        <f t="shared" si="1"/>
        <v>1151.5</v>
      </c>
      <c r="R15" s="5">
        <f t="shared" si="1"/>
        <v>1151.5</v>
      </c>
      <c r="S15" s="5">
        <f t="shared" si="1"/>
        <v>1151.5</v>
      </c>
      <c r="T15" s="5">
        <f t="shared" si="1"/>
        <v>1151.5</v>
      </c>
      <c r="U15" s="5">
        <f t="shared" si="1"/>
        <v>1151.5</v>
      </c>
      <c r="V15" s="5">
        <f t="shared" si="1"/>
        <v>1151.5</v>
      </c>
      <c r="W15" s="5">
        <f t="shared" si="1"/>
        <v>1151.5</v>
      </c>
      <c r="X15" s="5">
        <f t="shared" si="1"/>
        <v>1151.5</v>
      </c>
      <c r="Y15" s="5">
        <f t="shared" si="1"/>
        <v>1151.5</v>
      </c>
      <c r="Z15" s="5">
        <f t="shared" si="1"/>
        <v>1151.5</v>
      </c>
      <c r="AA15" s="5">
        <f t="shared" si="1"/>
        <v>1151.5</v>
      </c>
      <c r="AB15" s="5">
        <f t="shared" si="1"/>
        <v>1151.5</v>
      </c>
      <c r="AC15" s="5">
        <f t="shared" si="1"/>
        <v>1151.5</v>
      </c>
      <c r="AD15" s="5">
        <f t="shared" si="1"/>
        <v>1151.5</v>
      </c>
      <c r="AE15" s="5">
        <f t="shared" si="1"/>
        <v>1151.5</v>
      </c>
      <c r="AF15" s="5">
        <f t="shared" si="1"/>
        <v>1151.5</v>
      </c>
      <c r="AG15" s="5">
        <f t="shared" si="1"/>
        <v>1151.5</v>
      </c>
      <c r="AH15" s="5">
        <f t="shared" si="1"/>
        <v>1151.5</v>
      </c>
      <c r="AI15" s="5">
        <f t="shared" si="1"/>
        <v>1151.5</v>
      </c>
      <c r="AJ15" s="5">
        <f t="shared" si="1"/>
        <v>1151.5</v>
      </c>
      <c r="AK15" s="5">
        <f t="shared" si="1"/>
        <v>1151.5</v>
      </c>
      <c r="AL15" s="5">
        <f t="shared" si="1"/>
        <v>1151.5</v>
      </c>
      <c r="AM15" s="5">
        <f t="shared" si="1"/>
        <v>1151.5</v>
      </c>
      <c r="AN15" s="5">
        <f t="shared" si="1"/>
        <v>1151.5</v>
      </c>
      <c r="AO15" s="5">
        <f t="shared" si="1"/>
        <v>1151.5</v>
      </c>
      <c r="AP15" s="5">
        <f t="shared" si="1"/>
        <v>1151.5</v>
      </c>
      <c r="AQ15" s="5">
        <f t="shared" si="1"/>
        <v>0</v>
      </c>
      <c r="AR15" s="5"/>
      <c r="AS15" s="5"/>
    </row>
    <row r="16" spans="1:45" ht="30" x14ac:dyDescent="0.25">
      <c r="B16" s="55" t="s">
        <v>16</v>
      </c>
      <c r="C16" s="6">
        <f>$C30/15</f>
        <v>1933.3333333333333</v>
      </c>
      <c r="D16" s="6">
        <f t="shared" ref="D16:Q16" si="2">$C30/15</f>
        <v>1933.3333333333333</v>
      </c>
      <c r="E16" s="6">
        <f t="shared" si="2"/>
        <v>1933.3333333333333</v>
      </c>
      <c r="F16" s="6">
        <f t="shared" si="2"/>
        <v>1933.3333333333333</v>
      </c>
      <c r="G16" s="6">
        <f t="shared" si="2"/>
        <v>1933.3333333333333</v>
      </c>
      <c r="H16" s="6">
        <f t="shared" si="2"/>
        <v>1933.3333333333333</v>
      </c>
      <c r="I16" s="6">
        <f t="shared" si="2"/>
        <v>1933.3333333333333</v>
      </c>
      <c r="J16" s="6">
        <f t="shared" si="2"/>
        <v>1933.3333333333333</v>
      </c>
      <c r="K16" s="6">
        <f t="shared" si="2"/>
        <v>1933.3333333333333</v>
      </c>
      <c r="L16" s="6">
        <f t="shared" si="2"/>
        <v>1933.3333333333333</v>
      </c>
      <c r="M16" s="6">
        <f t="shared" si="2"/>
        <v>1933.3333333333333</v>
      </c>
      <c r="N16" s="6">
        <f t="shared" si="2"/>
        <v>1933.3333333333333</v>
      </c>
      <c r="O16" s="6">
        <f t="shared" si="2"/>
        <v>1933.3333333333333</v>
      </c>
      <c r="P16" s="6">
        <f t="shared" si="2"/>
        <v>1933.3333333333333</v>
      </c>
      <c r="Q16" s="6">
        <f t="shared" si="2"/>
        <v>1933.3333333333333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5"/>
      <c r="AS16" s="5"/>
    </row>
    <row r="17" spans="2:45" x14ac:dyDescent="0.25">
      <c r="B17" s="1" t="s">
        <v>2</v>
      </c>
      <c r="C17" s="5">
        <f t="shared" ref="C17:AQ17" si="3">C15-C16</f>
        <v>-781.83333333333326</v>
      </c>
      <c r="D17" s="5">
        <f t="shared" si="3"/>
        <v>-781.83333333333326</v>
      </c>
      <c r="E17" s="5">
        <f t="shared" si="3"/>
        <v>-781.83333333333326</v>
      </c>
      <c r="F17" s="5">
        <f t="shared" si="3"/>
        <v>-781.83333333333326</v>
      </c>
      <c r="G17" s="5">
        <f t="shared" si="3"/>
        <v>-781.83333333333326</v>
      </c>
      <c r="H17" s="5">
        <f t="shared" si="3"/>
        <v>-781.83333333333326</v>
      </c>
      <c r="I17" s="5">
        <f t="shared" si="3"/>
        <v>-781.83333333333326</v>
      </c>
      <c r="J17" s="5">
        <f t="shared" si="3"/>
        <v>-781.83333333333326</v>
      </c>
      <c r="K17" s="5">
        <f t="shared" si="3"/>
        <v>-781.83333333333326</v>
      </c>
      <c r="L17" s="5">
        <f t="shared" si="3"/>
        <v>-781.83333333333326</v>
      </c>
      <c r="M17" s="5">
        <f t="shared" si="3"/>
        <v>-781.83333333333326</v>
      </c>
      <c r="N17" s="5">
        <f t="shared" si="3"/>
        <v>-781.83333333333326</v>
      </c>
      <c r="O17" s="5">
        <f t="shared" si="3"/>
        <v>-781.83333333333326</v>
      </c>
      <c r="P17" s="5">
        <f t="shared" si="3"/>
        <v>-781.83333333333326</v>
      </c>
      <c r="Q17" s="5">
        <f t="shared" si="3"/>
        <v>-781.83333333333326</v>
      </c>
      <c r="R17" s="5">
        <f t="shared" si="3"/>
        <v>1151.5</v>
      </c>
      <c r="S17" s="5">
        <f t="shared" si="3"/>
        <v>1151.5</v>
      </c>
      <c r="T17" s="5">
        <f t="shared" si="3"/>
        <v>1151.5</v>
      </c>
      <c r="U17" s="5">
        <f t="shared" si="3"/>
        <v>1151.5</v>
      </c>
      <c r="V17" s="5">
        <f t="shared" si="3"/>
        <v>1151.5</v>
      </c>
      <c r="W17" s="5">
        <f t="shared" si="3"/>
        <v>1151.5</v>
      </c>
      <c r="X17" s="5">
        <f t="shared" si="3"/>
        <v>1151.5</v>
      </c>
      <c r="Y17" s="5">
        <f t="shared" si="3"/>
        <v>1151.5</v>
      </c>
      <c r="Z17" s="5">
        <f t="shared" si="3"/>
        <v>1151.5</v>
      </c>
      <c r="AA17" s="5">
        <f t="shared" si="3"/>
        <v>1151.5</v>
      </c>
      <c r="AB17" s="5">
        <f t="shared" si="3"/>
        <v>1151.5</v>
      </c>
      <c r="AC17" s="5">
        <f t="shared" si="3"/>
        <v>1151.5</v>
      </c>
      <c r="AD17" s="5">
        <f t="shared" si="3"/>
        <v>1151.5</v>
      </c>
      <c r="AE17" s="5">
        <f t="shared" si="3"/>
        <v>1151.5</v>
      </c>
      <c r="AF17" s="5">
        <f t="shared" si="3"/>
        <v>1151.5</v>
      </c>
      <c r="AG17" s="5">
        <f t="shared" si="3"/>
        <v>1151.5</v>
      </c>
      <c r="AH17" s="5">
        <f t="shared" si="3"/>
        <v>1151.5</v>
      </c>
      <c r="AI17" s="5">
        <f t="shared" si="3"/>
        <v>1151.5</v>
      </c>
      <c r="AJ17" s="5">
        <f t="shared" si="3"/>
        <v>1151.5</v>
      </c>
      <c r="AK17" s="5">
        <f t="shared" si="3"/>
        <v>1151.5</v>
      </c>
      <c r="AL17" s="5">
        <f t="shared" si="3"/>
        <v>1151.5</v>
      </c>
      <c r="AM17" s="5">
        <f t="shared" si="3"/>
        <v>1151.5</v>
      </c>
      <c r="AN17" s="5">
        <f t="shared" si="3"/>
        <v>1151.5</v>
      </c>
      <c r="AO17" s="5">
        <f t="shared" si="3"/>
        <v>1151.5</v>
      </c>
      <c r="AP17" s="5">
        <f t="shared" si="3"/>
        <v>1151.5</v>
      </c>
      <c r="AQ17" s="5">
        <f t="shared" si="3"/>
        <v>0</v>
      </c>
      <c r="AR17" s="5"/>
      <c r="AS17" s="5"/>
    </row>
    <row r="18" spans="2:45" x14ac:dyDescent="0.25">
      <c r="B18" t="s">
        <v>23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5"/>
      <c r="AS18" s="5"/>
    </row>
    <row r="19" spans="2:45" x14ac:dyDescent="0.25">
      <c r="B19" s="1" t="s">
        <v>3</v>
      </c>
      <c r="C19" s="5">
        <f t="shared" ref="C19:AQ19" si="4">C17-C18</f>
        <v>-781.83333333333326</v>
      </c>
      <c r="D19" s="5">
        <f t="shared" si="4"/>
        <v>-781.83333333333326</v>
      </c>
      <c r="E19" s="5">
        <f t="shared" si="4"/>
        <v>-781.83333333333326</v>
      </c>
      <c r="F19" s="5">
        <f t="shared" si="4"/>
        <v>-781.83333333333326</v>
      </c>
      <c r="G19" s="5">
        <f t="shared" si="4"/>
        <v>-781.83333333333326</v>
      </c>
      <c r="H19" s="5">
        <f t="shared" si="4"/>
        <v>-781.83333333333326</v>
      </c>
      <c r="I19" s="5">
        <f t="shared" si="4"/>
        <v>-781.83333333333326</v>
      </c>
      <c r="J19" s="5">
        <f t="shared" si="4"/>
        <v>-781.83333333333326</v>
      </c>
      <c r="K19" s="5">
        <f t="shared" si="4"/>
        <v>-781.83333333333326</v>
      </c>
      <c r="L19" s="5">
        <f t="shared" si="4"/>
        <v>-781.83333333333326</v>
      </c>
      <c r="M19" s="5">
        <f t="shared" si="4"/>
        <v>-781.83333333333326</v>
      </c>
      <c r="N19" s="5">
        <f t="shared" si="4"/>
        <v>-781.83333333333326</v>
      </c>
      <c r="O19" s="5">
        <f t="shared" si="4"/>
        <v>-781.83333333333326</v>
      </c>
      <c r="P19" s="5">
        <f t="shared" si="4"/>
        <v>-781.83333333333326</v>
      </c>
      <c r="Q19" s="5">
        <f t="shared" si="4"/>
        <v>-781.83333333333326</v>
      </c>
      <c r="R19" s="5">
        <f t="shared" si="4"/>
        <v>1151.5</v>
      </c>
      <c r="S19" s="5">
        <f t="shared" si="4"/>
        <v>1151.5</v>
      </c>
      <c r="T19" s="5">
        <f t="shared" si="4"/>
        <v>1151.5</v>
      </c>
      <c r="U19" s="5">
        <f t="shared" si="4"/>
        <v>1151.5</v>
      </c>
      <c r="V19" s="5">
        <f t="shared" si="4"/>
        <v>1151.5</v>
      </c>
      <c r="W19" s="5">
        <f t="shared" si="4"/>
        <v>1151.5</v>
      </c>
      <c r="X19" s="5">
        <f t="shared" si="4"/>
        <v>1151.5</v>
      </c>
      <c r="Y19" s="5">
        <f t="shared" si="4"/>
        <v>1151.5</v>
      </c>
      <c r="Z19" s="5">
        <f t="shared" si="4"/>
        <v>1151.5</v>
      </c>
      <c r="AA19" s="5">
        <f t="shared" si="4"/>
        <v>1151.5</v>
      </c>
      <c r="AB19" s="5">
        <f t="shared" si="4"/>
        <v>1151.5</v>
      </c>
      <c r="AC19" s="5">
        <f t="shared" si="4"/>
        <v>1151.5</v>
      </c>
      <c r="AD19" s="5">
        <f t="shared" si="4"/>
        <v>1151.5</v>
      </c>
      <c r="AE19" s="5">
        <f t="shared" si="4"/>
        <v>1151.5</v>
      </c>
      <c r="AF19" s="5">
        <f t="shared" si="4"/>
        <v>1151.5</v>
      </c>
      <c r="AG19" s="5">
        <f t="shared" si="4"/>
        <v>1151.5</v>
      </c>
      <c r="AH19" s="5">
        <f t="shared" si="4"/>
        <v>1151.5</v>
      </c>
      <c r="AI19" s="5">
        <f t="shared" si="4"/>
        <v>1151.5</v>
      </c>
      <c r="AJ19" s="5">
        <f t="shared" si="4"/>
        <v>1151.5</v>
      </c>
      <c r="AK19" s="5">
        <f t="shared" si="4"/>
        <v>1151.5</v>
      </c>
      <c r="AL19" s="5">
        <f t="shared" si="4"/>
        <v>1151.5</v>
      </c>
      <c r="AM19" s="5">
        <f t="shared" si="4"/>
        <v>1151.5</v>
      </c>
      <c r="AN19" s="5">
        <f t="shared" si="4"/>
        <v>1151.5</v>
      </c>
      <c r="AO19" s="5">
        <f t="shared" si="4"/>
        <v>1151.5</v>
      </c>
      <c r="AP19" s="5">
        <f t="shared" si="4"/>
        <v>1151.5</v>
      </c>
      <c r="AQ19" s="5">
        <f t="shared" si="4"/>
        <v>0</v>
      </c>
      <c r="AR19" s="5"/>
      <c r="AS19" s="5"/>
    </row>
    <row r="20" spans="2:45" x14ac:dyDescent="0.25">
      <c r="B20" t="s">
        <v>20</v>
      </c>
      <c r="C20" s="6">
        <f>0.25*C19</f>
        <v>-195.45833333333331</v>
      </c>
      <c r="D20" s="6">
        <f t="shared" ref="D20:AQ20" si="5">0.25*D19</f>
        <v>-195.45833333333331</v>
      </c>
      <c r="E20" s="6">
        <f t="shared" si="5"/>
        <v>-195.45833333333331</v>
      </c>
      <c r="F20" s="6">
        <f t="shared" si="5"/>
        <v>-195.45833333333331</v>
      </c>
      <c r="G20" s="6">
        <f t="shared" si="5"/>
        <v>-195.45833333333331</v>
      </c>
      <c r="H20" s="6">
        <f t="shared" si="5"/>
        <v>-195.45833333333331</v>
      </c>
      <c r="I20" s="6">
        <f t="shared" si="5"/>
        <v>-195.45833333333331</v>
      </c>
      <c r="J20" s="6">
        <f t="shared" si="5"/>
        <v>-195.45833333333331</v>
      </c>
      <c r="K20" s="6">
        <f t="shared" si="5"/>
        <v>-195.45833333333331</v>
      </c>
      <c r="L20" s="6">
        <f t="shared" si="5"/>
        <v>-195.45833333333331</v>
      </c>
      <c r="M20" s="6">
        <f t="shared" si="5"/>
        <v>-195.45833333333331</v>
      </c>
      <c r="N20" s="6">
        <f t="shared" si="5"/>
        <v>-195.45833333333331</v>
      </c>
      <c r="O20" s="6">
        <f t="shared" si="5"/>
        <v>-195.45833333333331</v>
      </c>
      <c r="P20" s="6">
        <f t="shared" si="5"/>
        <v>-195.45833333333331</v>
      </c>
      <c r="Q20" s="6">
        <f t="shared" si="5"/>
        <v>-195.45833333333331</v>
      </c>
      <c r="R20" s="6">
        <f t="shared" si="5"/>
        <v>287.875</v>
      </c>
      <c r="S20" s="6">
        <f t="shared" si="5"/>
        <v>287.875</v>
      </c>
      <c r="T20" s="6">
        <f t="shared" si="5"/>
        <v>287.875</v>
      </c>
      <c r="U20" s="6">
        <f t="shared" si="5"/>
        <v>287.875</v>
      </c>
      <c r="V20" s="6">
        <f t="shared" si="5"/>
        <v>287.875</v>
      </c>
      <c r="W20" s="6">
        <f t="shared" si="5"/>
        <v>287.875</v>
      </c>
      <c r="X20" s="6">
        <f t="shared" si="5"/>
        <v>287.875</v>
      </c>
      <c r="Y20" s="6">
        <f t="shared" si="5"/>
        <v>287.875</v>
      </c>
      <c r="Z20" s="6">
        <f t="shared" si="5"/>
        <v>287.875</v>
      </c>
      <c r="AA20" s="6">
        <f t="shared" si="5"/>
        <v>287.875</v>
      </c>
      <c r="AB20" s="6">
        <f t="shared" si="5"/>
        <v>287.875</v>
      </c>
      <c r="AC20" s="6">
        <f t="shared" si="5"/>
        <v>287.875</v>
      </c>
      <c r="AD20" s="6">
        <f t="shared" si="5"/>
        <v>287.875</v>
      </c>
      <c r="AE20" s="6">
        <f t="shared" si="5"/>
        <v>287.875</v>
      </c>
      <c r="AF20" s="6">
        <f t="shared" si="5"/>
        <v>287.875</v>
      </c>
      <c r="AG20" s="6">
        <f t="shared" si="5"/>
        <v>287.875</v>
      </c>
      <c r="AH20" s="6">
        <f t="shared" si="5"/>
        <v>287.875</v>
      </c>
      <c r="AI20" s="6">
        <f t="shared" si="5"/>
        <v>287.875</v>
      </c>
      <c r="AJ20" s="6">
        <f t="shared" si="5"/>
        <v>287.875</v>
      </c>
      <c r="AK20" s="6">
        <f t="shared" si="5"/>
        <v>287.875</v>
      </c>
      <c r="AL20" s="6">
        <f t="shared" si="5"/>
        <v>287.875</v>
      </c>
      <c r="AM20" s="6">
        <f t="shared" si="5"/>
        <v>287.875</v>
      </c>
      <c r="AN20" s="6">
        <f t="shared" si="5"/>
        <v>287.875</v>
      </c>
      <c r="AO20" s="6">
        <f t="shared" si="5"/>
        <v>287.875</v>
      </c>
      <c r="AP20" s="6">
        <f t="shared" si="5"/>
        <v>287.875</v>
      </c>
      <c r="AQ20" s="6">
        <f t="shared" si="5"/>
        <v>0</v>
      </c>
      <c r="AR20" s="5"/>
      <c r="AS20" s="5"/>
    </row>
    <row r="21" spans="2:45" x14ac:dyDescent="0.25">
      <c r="B21" s="1" t="s">
        <v>4</v>
      </c>
      <c r="C21" s="5">
        <f t="shared" ref="C21:AQ21" si="6">C19-C20</f>
        <v>-586.375</v>
      </c>
      <c r="D21" s="5">
        <f t="shared" si="6"/>
        <v>-586.375</v>
      </c>
      <c r="E21" s="5">
        <f t="shared" si="6"/>
        <v>-586.375</v>
      </c>
      <c r="F21" s="5">
        <f t="shared" si="6"/>
        <v>-586.375</v>
      </c>
      <c r="G21" s="5">
        <f t="shared" si="6"/>
        <v>-586.375</v>
      </c>
      <c r="H21" s="5">
        <f t="shared" si="6"/>
        <v>-586.375</v>
      </c>
      <c r="I21" s="5">
        <f t="shared" si="6"/>
        <v>-586.375</v>
      </c>
      <c r="J21" s="5">
        <f t="shared" si="6"/>
        <v>-586.375</v>
      </c>
      <c r="K21" s="5">
        <f t="shared" si="6"/>
        <v>-586.375</v>
      </c>
      <c r="L21" s="5">
        <f t="shared" si="6"/>
        <v>-586.375</v>
      </c>
      <c r="M21" s="5">
        <f t="shared" si="6"/>
        <v>-586.375</v>
      </c>
      <c r="N21" s="5">
        <f t="shared" si="6"/>
        <v>-586.375</v>
      </c>
      <c r="O21" s="5">
        <f t="shared" si="6"/>
        <v>-586.375</v>
      </c>
      <c r="P21" s="5">
        <f t="shared" si="6"/>
        <v>-586.375</v>
      </c>
      <c r="Q21" s="5">
        <f t="shared" si="6"/>
        <v>-586.375</v>
      </c>
      <c r="R21" s="5">
        <f t="shared" si="6"/>
        <v>863.625</v>
      </c>
      <c r="S21" s="5">
        <f t="shared" si="6"/>
        <v>863.625</v>
      </c>
      <c r="T21" s="5">
        <f t="shared" si="6"/>
        <v>863.625</v>
      </c>
      <c r="U21" s="5">
        <f t="shared" si="6"/>
        <v>863.625</v>
      </c>
      <c r="V21" s="5">
        <f t="shared" si="6"/>
        <v>863.625</v>
      </c>
      <c r="W21" s="5">
        <f t="shared" si="6"/>
        <v>863.625</v>
      </c>
      <c r="X21" s="5">
        <f t="shared" si="6"/>
        <v>863.625</v>
      </c>
      <c r="Y21" s="5">
        <f t="shared" si="6"/>
        <v>863.625</v>
      </c>
      <c r="Z21" s="5">
        <f t="shared" si="6"/>
        <v>863.625</v>
      </c>
      <c r="AA21" s="5">
        <f t="shared" si="6"/>
        <v>863.625</v>
      </c>
      <c r="AB21" s="5">
        <f t="shared" si="6"/>
        <v>863.625</v>
      </c>
      <c r="AC21" s="5">
        <f t="shared" si="6"/>
        <v>863.625</v>
      </c>
      <c r="AD21" s="5">
        <f t="shared" si="6"/>
        <v>863.625</v>
      </c>
      <c r="AE21" s="5">
        <f t="shared" si="6"/>
        <v>863.625</v>
      </c>
      <c r="AF21" s="5">
        <f t="shared" si="6"/>
        <v>863.625</v>
      </c>
      <c r="AG21" s="5">
        <f t="shared" si="6"/>
        <v>863.625</v>
      </c>
      <c r="AH21" s="5">
        <f t="shared" si="6"/>
        <v>863.625</v>
      </c>
      <c r="AI21" s="5">
        <f t="shared" si="6"/>
        <v>863.625</v>
      </c>
      <c r="AJ21" s="5">
        <f t="shared" si="6"/>
        <v>863.625</v>
      </c>
      <c r="AK21" s="5">
        <f t="shared" si="6"/>
        <v>863.625</v>
      </c>
      <c r="AL21" s="5">
        <f t="shared" si="6"/>
        <v>863.625</v>
      </c>
      <c r="AM21" s="5">
        <f t="shared" si="6"/>
        <v>863.625</v>
      </c>
      <c r="AN21" s="5">
        <f t="shared" si="6"/>
        <v>863.625</v>
      </c>
      <c r="AO21" s="5">
        <f t="shared" si="6"/>
        <v>863.625</v>
      </c>
      <c r="AP21" s="5">
        <f t="shared" si="6"/>
        <v>863.625</v>
      </c>
      <c r="AQ21" s="5">
        <f t="shared" si="6"/>
        <v>0</v>
      </c>
      <c r="AR21" s="5"/>
      <c r="AS21" s="5"/>
    </row>
    <row r="22" spans="2:45" x14ac:dyDescent="0.25">
      <c r="B22" s="2" t="s">
        <v>61</v>
      </c>
      <c r="C22" s="6">
        <f>C16</f>
        <v>1933.3333333333333</v>
      </c>
      <c r="D22" s="6">
        <f>D16</f>
        <v>1933.3333333333333</v>
      </c>
      <c r="E22" s="6">
        <f>E16</f>
        <v>1933.3333333333333</v>
      </c>
      <c r="F22" s="6">
        <f>F16</f>
        <v>1933.3333333333333</v>
      </c>
      <c r="G22" s="6">
        <f>G16</f>
        <v>1933.3333333333333</v>
      </c>
      <c r="H22" s="6">
        <f t="shared" ref="H22:AQ22" si="7">H16</f>
        <v>1933.3333333333333</v>
      </c>
      <c r="I22" s="6">
        <f t="shared" si="7"/>
        <v>1933.3333333333333</v>
      </c>
      <c r="J22" s="6">
        <f t="shared" si="7"/>
        <v>1933.3333333333333</v>
      </c>
      <c r="K22" s="6">
        <f t="shared" si="7"/>
        <v>1933.3333333333333</v>
      </c>
      <c r="L22" s="6">
        <f t="shared" si="7"/>
        <v>1933.3333333333333</v>
      </c>
      <c r="M22" s="6">
        <f t="shared" si="7"/>
        <v>1933.3333333333333</v>
      </c>
      <c r="N22" s="6">
        <f t="shared" si="7"/>
        <v>1933.3333333333333</v>
      </c>
      <c r="O22" s="6">
        <f t="shared" si="7"/>
        <v>1933.3333333333333</v>
      </c>
      <c r="P22" s="6">
        <f t="shared" si="7"/>
        <v>1933.3333333333333</v>
      </c>
      <c r="Q22" s="6">
        <f t="shared" si="7"/>
        <v>1933.3333333333333</v>
      </c>
      <c r="R22" s="6">
        <f t="shared" si="7"/>
        <v>0</v>
      </c>
      <c r="S22" s="6">
        <f t="shared" si="7"/>
        <v>0</v>
      </c>
      <c r="T22" s="6">
        <f t="shared" si="7"/>
        <v>0</v>
      </c>
      <c r="U22" s="6">
        <f t="shared" si="7"/>
        <v>0</v>
      </c>
      <c r="V22" s="6">
        <f t="shared" si="7"/>
        <v>0</v>
      </c>
      <c r="W22" s="6">
        <f t="shared" si="7"/>
        <v>0</v>
      </c>
      <c r="X22" s="6">
        <f t="shared" si="7"/>
        <v>0</v>
      </c>
      <c r="Y22" s="6">
        <f t="shared" si="7"/>
        <v>0</v>
      </c>
      <c r="Z22" s="6">
        <f t="shared" si="7"/>
        <v>0</v>
      </c>
      <c r="AA22" s="6">
        <f t="shared" si="7"/>
        <v>0</v>
      </c>
      <c r="AB22" s="6">
        <f t="shared" si="7"/>
        <v>0</v>
      </c>
      <c r="AC22" s="6">
        <f t="shared" si="7"/>
        <v>0</v>
      </c>
      <c r="AD22" s="6">
        <f t="shared" si="7"/>
        <v>0</v>
      </c>
      <c r="AE22" s="6">
        <f t="shared" si="7"/>
        <v>0</v>
      </c>
      <c r="AF22" s="6">
        <f t="shared" si="7"/>
        <v>0</v>
      </c>
      <c r="AG22" s="6">
        <f t="shared" si="7"/>
        <v>0</v>
      </c>
      <c r="AH22" s="6">
        <f t="shared" si="7"/>
        <v>0</v>
      </c>
      <c r="AI22" s="6">
        <f t="shared" si="7"/>
        <v>0</v>
      </c>
      <c r="AJ22" s="6">
        <f t="shared" si="7"/>
        <v>0</v>
      </c>
      <c r="AK22" s="6">
        <f t="shared" si="7"/>
        <v>0</v>
      </c>
      <c r="AL22" s="6">
        <f t="shared" si="7"/>
        <v>0</v>
      </c>
      <c r="AM22" s="6">
        <f t="shared" si="7"/>
        <v>0</v>
      </c>
      <c r="AN22" s="6">
        <f t="shared" si="7"/>
        <v>0</v>
      </c>
      <c r="AO22" s="6">
        <f t="shared" si="7"/>
        <v>0</v>
      </c>
      <c r="AP22" s="6">
        <f t="shared" si="7"/>
        <v>0</v>
      </c>
      <c r="AQ22" s="6">
        <f t="shared" si="7"/>
        <v>0</v>
      </c>
      <c r="AR22" s="5"/>
      <c r="AS22" s="5"/>
    </row>
    <row r="23" spans="2:45" x14ac:dyDescent="0.25">
      <c r="B23" s="2" t="s">
        <v>45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/>
      <c r="S23" s="6"/>
      <c r="T23" s="6"/>
      <c r="U23" s="6"/>
      <c r="V23" s="6"/>
      <c r="W23" s="6"/>
      <c r="X23" s="6"/>
      <c r="Y23" s="6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2:45" ht="30" x14ac:dyDescent="0.25">
      <c r="B24" s="56" t="s">
        <v>114</v>
      </c>
      <c r="C24" s="6">
        <v>2600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x14ac:dyDescent="0.25">
      <c r="B25" s="2" t="s">
        <v>33</v>
      </c>
      <c r="C25" s="6">
        <f>C30*0.5</f>
        <v>14500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x14ac:dyDescent="0.25">
      <c r="B26" s="1" t="s">
        <v>5</v>
      </c>
      <c r="C26" s="5">
        <f t="shared" ref="C26:H26" si="8">C21+SUM(C22:C25)</f>
        <v>18446.958333333332</v>
      </c>
      <c r="D26" s="5">
        <f t="shared" si="8"/>
        <v>1346.9583333333333</v>
      </c>
      <c r="E26" s="5">
        <f t="shared" si="8"/>
        <v>1346.9583333333333</v>
      </c>
      <c r="F26" s="5">
        <f t="shared" si="8"/>
        <v>1346.9583333333333</v>
      </c>
      <c r="G26" s="5">
        <f t="shared" si="8"/>
        <v>1346.9583333333333</v>
      </c>
      <c r="H26" s="5">
        <f t="shared" si="8"/>
        <v>1346.9583333333333</v>
      </c>
      <c r="I26" s="5">
        <f t="shared" ref="I26:AQ26" si="9">I21+SUM(I22:I25)</f>
        <v>1346.9583333333333</v>
      </c>
      <c r="J26" s="5">
        <f t="shared" si="9"/>
        <v>1346.9583333333333</v>
      </c>
      <c r="K26" s="5">
        <f t="shared" si="9"/>
        <v>1346.9583333333333</v>
      </c>
      <c r="L26" s="5">
        <f t="shared" si="9"/>
        <v>1346.9583333333333</v>
      </c>
      <c r="M26" s="5">
        <f t="shared" si="9"/>
        <v>1346.9583333333333</v>
      </c>
      <c r="N26" s="5">
        <f t="shared" si="9"/>
        <v>1346.9583333333333</v>
      </c>
      <c r="O26" s="5">
        <f t="shared" si="9"/>
        <v>1346.9583333333333</v>
      </c>
      <c r="P26" s="5">
        <f t="shared" si="9"/>
        <v>1346.9583333333333</v>
      </c>
      <c r="Q26" s="5">
        <f t="shared" si="9"/>
        <v>1346.9583333333333</v>
      </c>
      <c r="R26" s="5">
        <f t="shared" si="9"/>
        <v>863.625</v>
      </c>
      <c r="S26" s="5">
        <f t="shared" si="9"/>
        <v>863.625</v>
      </c>
      <c r="T26" s="5">
        <f t="shared" si="9"/>
        <v>863.625</v>
      </c>
      <c r="U26" s="5">
        <f t="shared" si="9"/>
        <v>863.625</v>
      </c>
      <c r="V26" s="5">
        <f t="shared" si="9"/>
        <v>863.625</v>
      </c>
      <c r="W26" s="5">
        <f t="shared" si="9"/>
        <v>863.625</v>
      </c>
      <c r="X26" s="5">
        <f t="shared" si="9"/>
        <v>863.625</v>
      </c>
      <c r="Y26" s="5">
        <f t="shared" si="9"/>
        <v>863.625</v>
      </c>
      <c r="Z26" s="5">
        <f t="shared" si="9"/>
        <v>863.625</v>
      </c>
      <c r="AA26" s="5">
        <f t="shared" si="9"/>
        <v>863.625</v>
      </c>
      <c r="AB26" s="5">
        <f t="shared" si="9"/>
        <v>863.625</v>
      </c>
      <c r="AC26" s="5">
        <f t="shared" si="9"/>
        <v>863.625</v>
      </c>
      <c r="AD26" s="5">
        <f t="shared" si="9"/>
        <v>863.625</v>
      </c>
      <c r="AE26" s="5">
        <f t="shared" si="9"/>
        <v>863.625</v>
      </c>
      <c r="AF26" s="5">
        <f t="shared" si="9"/>
        <v>863.625</v>
      </c>
      <c r="AG26" s="5">
        <f t="shared" si="9"/>
        <v>863.625</v>
      </c>
      <c r="AH26" s="5">
        <f t="shared" si="9"/>
        <v>863.625</v>
      </c>
      <c r="AI26" s="5">
        <f t="shared" si="9"/>
        <v>863.625</v>
      </c>
      <c r="AJ26" s="5">
        <f t="shared" si="9"/>
        <v>863.625</v>
      </c>
      <c r="AK26" s="5">
        <f t="shared" si="9"/>
        <v>863.625</v>
      </c>
      <c r="AL26" s="5">
        <f t="shared" si="9"/>
        <v>863.625</v>
      </c>
      <c r="AM26" s="5">
        <f t="shared" si="9"/>
        <v>863.625</v>
      </c>
      <c r="AN26" s="5">
        <f t="shared" si="9"/>
        <v>863.625</v>
      </c>
      <c r="AO26" s="5">
        <f t="shared" si="9"/>
        <v>863.625</v>
      </c>
      <c r="AP26" s="5">
        <f t="shared" si="9"/>
        <v>863.625</v>
      </c>
      <c r="AQ26" s="5">
        <f t="shared" si="9"/>
        <v>0</v>
      </c>
      <c r="AR26" s="5"/>
      <c r="AS26" s="5"/>
    </row>
    <row r="27" spans="2:45" x14ac:dyDescent="0.25"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2:45" s="113" customFormat="1" x14ac:dyDescent="0.25">
      <c r="B28" s="114" t="s">
        <v>27</v>
      </c>
      <c r="C28" s="114"/>
      <c r="D28" s="114" t="s">
        <v>44</v>
      </c>
      <c r="E28" s="90" t="s">
        <v>0</v>
      </c>
      <c r="F28" s="90" t="s">
        <v>226</v>
      </c>
      <c r="G28" s="90" t="s">
        <v>227</v>
      </c>
      <c r="H28" s="90" t="s">
        <v>228</v>
      </c>
      <c r="I28" s="90" t="s">
        <v>229</v>
      </c>
      <c r="J28" s="90" t="s">
        <v>230</v>
      </c>
      <c r="K28" s="90" t="s">
        <v>231</v>
      </c>
      <c r="L28" s="90" t="s">
        <v>232</v>
      </c>
      <c r="M28" s="90" t="s">
        <v>233</v>
      </c>
      <c r="N28" s="90" t="s">
        <v>234</v>
      </c>
      <c r="O28" s="90" t="s">
        <v>235</v>
      </c>
      <c r="P28" s="90" t="s">
        <v>236</v>
      </c>
      <c r="Q28" s="90" t="s">
        <v>237</v>
      </c>
      <c r="R28" s="90" t="s">
        <v>238</v>
      </c>
      <c r="S28" s="90" t="s">
        <v>239</v>
      </c>
      <c r="T28" s="90" t="s">
        <v>240</v>
      </c>
      <c r="U28" s="90" t="s">
        <v>241</v>
      </c>
      <c r="V28" s="90" t="s">
        <v>242</v>
      </c>
      <c r="W28" s="90" t="s">
        <v>243</v>
      </c>
      <c r="X28" s="90" t="s">
        <v>244</v>
      </c>
      <c r="Y28" s="90" t="s">
        <v>245</v>
      </c>
      <c r="Z28" s="90" t="s">
        <v>246</v>
      </c>
      <c r="AA28" s="90" t="s">
        <v>247</v>
      </c>
      <c r="AB28" s="90" t="s">
        <v>248</v>
      </c>
      <c r="AC28" s="90" t="s">
        <v>249</v>
      </c>
      <c r="AD28" s="90" t="s">
        <v>250</v>
      </c>
      <c r="AE28" s="90" t="s">
        <v>251</v>
      </c>
      <c r="AF28" s="90" t="s">
        <v>252</v>
      </c>
      <c r="AG28" s="90" t="s">
        <v>253</v>
      </c>
      <c r="AH28" s="90" t="s">
        <v>254</v>
      </c>
      <c r="AI28" s="90" t="s">
        <v>255</v>
      </c>
      <c r="AJ28" s="90" t="s">
        <v>256</v>
      </c>
      <c r="AK28" s="90" t="s">
        <v>257</v>
      </c>
      <c r="AL28" s="90" t="s">
        <v>258</v>
      </c>
      <c r="AM28" s="90" t="s">
        <v>259</v>
      </c>
      <c r="AN28" s="90" t="s">
        <v>260</v>
      </c>
      <c r="AO28" s="90" t="s">
        <v>261</v>
      </c>
      <c r="AP28" s="90" t="s">
        <v>262</v>
      </c>
      <c r="AQ28" s="90" t="s">
        <v>263</v>
      </c>
      <c r="AR28" s="90" t="s">
        <v>264</v>
      </c>
      <c r="AS28" s="90" t="s">
        <v>265</v>
      </c>
    </row>
    <row r="29" spans="2:45" x14ac:dyDescent="0.25">
      <c r="B29" s="7" t="s">
        <v>7</v>
      </c>
      <c r="C29" s="8">
        <f>SUM(C26:AP26)</f>
        <v>58894.999999999993</v>
      </c>
      <c r="D29" s="6" t="s">
        <v>29</v>
      </c>
      <c r="E29" s="10">
        <f>C26-C30</f>
        <v>-10553.041666666668</v>
      </c>
      <c r="F29" s="10">
        <f>E29+D26</f>
        <v>-9206.0833333333339</v>
      </c>
      <c r="G29" s="10">
        <f t="shared" ref="G29:AC29" si="10">F29+E26</f>
        <v>-7859.1250000000009</v>
      </c>
      <c r="H29" s="10">
        <f t="shared" si="10"/>
        <v>-6512.1666666666679</v>
      </c>
      <c r="I29" s="10">
        <f t="shared" si="10"/>
        <v>-5165.2083333333348</v>
      </c>
      <c r="J29" s="10">
        <f t="shared" si="10"/>
        <v>-3818.2500000000018</v>
      </c>
      <c r="K29" s="10">
        <f t="shared" si="10"/>
        <v>-2471.2916666666688</v>
      </c>
      <c r="L29" s="10">
        <f t="shared" si="10"/>
        <v>-1124.3333333333355</v>
      </c>
      <c r="M29" s="10">
        <f t="shared" si="10"/>
        <v>222.62499999999773</v>
      </c>
      <c r="N29" s="10">
        <f t="shared" si="10"/>
        <v>1569.583333333331</v>
      </c>
      <c r="O29" s="10">
        <f t="shared" si="10"/>
        <v>2916.5416666666642</v>
      </c>
      <c r="P29" s="10">
        <f t="shared" si="10"/>
        <v>4263.4999999999973</v>
      </c>
      <c r="Q29" s="10">
        <f t="shared" si="10"/>
        <v>5610.4583333333303</v>
      </c>
      <c r="R29" s="10">
        <f t="shared" si="10"/>
        <v>6957.4166666666633</v>
      </c>
      <c r="S29" s="10">
        <f t="shared" si="10"/>
        <v>8304.3749999999964</v>
      </c>
      <c r="T29" s="10">
        <f t="shared" si="10"/>
        <v>9167.9999999999964</v>
      </c>
      <c r="U29" s="10">
        <f t="shared" si="10"/>
        <v>10031.624999999996</v>
      </c>
      <c r="V29" s="10">
        <f t="shared" si="10"/>
        <v>10895.249999999996</v>
      </c>
      <c r="W29" s="10">
        <f t="shared" si="10"/>
        <v>11758.874999999996</v>
      </c>
      <c r="X29" s="10">
        <f t="shared" si="10"/>
        <v>12622.499999999996</v>
      </c>
      <c r="Y29" s="10">
        <f t="shared" si="10"/>
        <v>13486.124999999996</v>
      </c>
      <c r="Z29" s="10">
        <f t="shared" si="10"/>
        <v>14349.749999999996</v>
      </c>
      <c r="AA29" s="10">
        <f t="shared" si="10"/>
        <v>15213.374999999996</v>
      </c>
      <c r="AB29" s="10">
        <f t="shared" si="10"/>
        <v>16076.999999999996</v>
      </c>
      <c r="AC29" s="10">
        <f t="shared" si="10"/>
        <v>16940.624999999996</v>
      </c>
      <c r="AD29" s="10">
        <f t="shared" ref="AD29" si="11">AC29+AB26</f>
        <v>17804.249999999996</v>
      </c>
      <c r="AE29" s="10">
        <f t="shared" ref="AE29" si="12">AD29+AC26</f>
        <v>18667.874999999996</v>
      </c>
      <c r="AF29" s="10">
        <f t="shared" ref="AF29" si="13">AE29+AD26</f>
        <v>19531.499999999996</v>
      </c>
      <c r="AG29" s="10">
        <f t="shared" ref="AG29" si="14">AF29+AE26</f>
        <v>20395.124999999996</v>
      </c>
      <c r="AH29" s="10">
        <f t="shared" ref="AH29" si="15">AG29+AF26</f>
        <v>21258.749999999996</v>
      </c>
      <c r="AI29" s="10">
        <f t="shared" ref="AI29" si="16">AH29+AG26</f>
        <v>22122.374999999996</v>
      </c>
      <c r="AJ29" s="10">
        <f t="shared" ref="AJ29" si="17">AI29+AH26</f>
        <v>22985.999999999996</v>
      </c>
      <c r="AK29" s="10">
        <f t="shared" ref="AK29" si="18">AJ29+AI26</f>
        <v>23849.624999999996</v>
      </c>
      <c r="AL29" s="10">
        <f t="shared" ref="AL29" si="19">AK29+AJ26</f>
        <v>24713.249999999996</v>
      </c>
      <c r="AM29" s="10">
        <f t="shared" ref="AM29" si="20">AL29+AK26</f>
        <v>25576.874999999996</v>
      </c>
      <c r="AN29" s="10">
        <f t="shared" ref="AN29" si="21">AM29+AL26</f>
        <v>26440.499999999996</v>
      </c>
      <c r="AO29" s="10">
        <f t="shared" ref="AO29" si="22">AN29+AM26</f>
        <v>27304.124999999996</v>
      </c>
      <c r="AP29" s="10">
        <f t="shared" ref="AP29" si="23">AO29+AN26</f>
        <v>28167.749999999996</v>
      </c>
      <c r="AQ29" s="10">
        <f t="shared" ref="AQ29" si="24">AP29+AO26</f>
        <v>29031.374999999996</v>
      </c>
      <c r="AR29" s="10">
        <f t="shared" ref="AR29" si="25">AQ29+AP26</f>
        <v>29894.999999999996</v>
      </c>
      <c r="AS29" s="10">
        <f t="shared" ref="AS29" si="26">AR29+AQ26</f>
        <v>29894.999999999996</v>
      </c>
    </row>
    <row r="30" spans="2:45" x14ac:dyDescent="0.25">
      <c r="B30" s="67" t="s">
        <v>65</v>
      </c>
      <c r="C30" s="8">
        <v>29000</v>
      </c>
      <c r="D30" s="5"/>
      <c r="G30" t="s">
        <v>170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45" x14ac:dyDescent="0.25">
      <c r="B31" s="7" t="s">
        <v>18</v>
      </c>
      <c r="C31" s="8"/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45" x14ac:dyDescent="0.25">
      <c r="B32" s="7" t="s">
        <v>8</v>
      </c>
      <c r="C32" s="8">
        <f>C29-C30</f>
        <v>29894.999999999993</v>
      </c>
      <c r="D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45" x14ac:dyDescent="0.25">
      <c r="B33" s="29" t="s">
        <v>10</v>
      </c>
      <c r="C33" s="15">
        <f>C32/C30*100%</f>
        <v>1.030862068965517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45" x14ac:dyDescent="0.25">
      <c r="B34" s="19"/>
      <c r="C34" s="2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45" x14ac:dyDescent="0.25">
      <c r="B35" t="s">
        <v>31</v>
      </c>
      <c r="C35" s="4">
        <v>0.05</v>
      </c>
      <c r="D35" s="6"/>
      <c r="E35" s="6"/>
    </row>
    <row r="36" spans="2:45" x14ac:dyDescent="0.25">
      <c r="B36" s="1" t="s">
        <v>6</v>
      </c>
      <c r="C36" s="5">
        <f>C26/(1+$C35)</f>
        <v>17568.531746031746</v>
      </c>
      <c r="D36" s="5">
        <f>D26/(1+$C35)^2</f>
        <v>1221.7309145880574</v>
      </c>
      <c r="E36" s="5">
        <f>E26/(1+$C35)^3</f>
        <v>1163.553251988626</v>
      </c>
      <c r="F36" s="5">
        <f>F26/(1+$C35)^4</f>
        <v>1108.1459542748819</v>
      </c>
      <c r="G36" s="5">
        <f>G26/(1+$C35)^5</f>
        <v>1055.3770993094113</v>
      </c>
      <c r="H36" s="5">
        <f>H26/(1+$C35)^6</f>
        <v>1005.1210469613442</v>
      </c>
      <c r="I36" s="5">
        <f>I26/(1+$C35)^7</f>
        <v>957.25813996318482</v>
      </c>
      <c r="J36" s="5">
        <f>J26/(1+$C35)^8</f>
        <v>911.674419012557</v>
      </c>
      <c r="K36" s="5">
        <f>K26/(1+$C35)^9</f>
        <v>868.26135144053046</v>
      </c>
      <c r="L36" s="5">
        <f>L26/(1+$C35)^10</f>
        <v>826.91557280050517</v>
      </c>
      <c r="M36" s="5">
        <f>M26/(1+$C35)^11</f>
        <v>787.53864076238585</v>
      </c>
      <c r="N36" s="5">
        <f>N26/(1+$C35)^12</f>
        <v>750.03680072608188</v>
      </c>
      <c r="O36" s="5">
        <f>O26/(1+$C35)^13</f>
        <v>714.32076259626831</v>
      </c>
      <c r="P36" s="5">
        <f>P26/(1+$C35)^14</f>
        <v>680.30548818692239</v>
      </c>
      <c r="Q36" s="5">
        <f>Q26/(1+$C35)^15</f>
        <v>647.90998874944967</v>
      </c>
      <c r="R36" s="5">
        <f>R26/(1+$C35)^16</f>
        <v>395.63656317982304</v>
      </c>
      <c r="S36" s="5">
        <f>S26/(1+$C35)^17</f>
        <v>376.79672683792666</v>
      </c>
      <c r="T36" s="5">
        <f>T26/(1+$C35)^18</f>
        <v>358.85402555993011</v>
      </c>
      <c r="U36" s="5">
        <f>U26/(1+$C35)^19</f>
        <v>341.76573862850489</v>
      </c>
      <c r="V36" s="5">
        <f>V26/(1+$C35)^20</f>
        <v>325.49117964619512</v>
      </c>
      <c r="W36" s="5">
        <f>W26/(1+$C35)^21</f>
        <v>309.99159966304302</v>
      </c>
      <c r="X36" s="5">
        <f>X26/(1+$C35)^22</f>
        <v>295.23009491718381</v>
      </c>
      <c r="Y36" s="5">
        <f>Y26/(1+$C35)^23</f>
        <v>281.17151896874645</v>
      </c>
      <c r="Z36" s="5">
        <f>Z26/(1+$C35)^24</f>
        <v>267.78239901785378</v>
      </c>
      <c r="AA36" s="5">
        <f>AA26/(1+$C35)^25</f>
        <v>255.03085620747979</v>
      </c>
      <c r="AB36" s="5">
        <f>AB26/(1+$C35)^26</f>
        <v>242.88652972140932</v>
      </c>
      <c r="AC36" s="5">
        <f>AC26/(1+$C35)^27</f>
        <v>231.32050449658027</v>
      </c>
      <c r="AD36" s="5">
        <f>AD26/(1+$C35)^28</f>
        <v>220.30524237769555</v>
      </c>
      <c r="AE36" s="5">
        <f>AE26/(1+$C35)^29</f>
        <v>209.8145165501862</v>
      </c>
      <c r="AF36" s="5">
        <f>AF26/(1+$C35)^30</f>
        <v>199.82334909541549</v>
      </c>
      <c r="AG36" s="5">
        <f>AG26/(1+$C35)^31</f>
        <v>190.30795151944324</v>
      </c>
      <c r="AH36" s="5">
        <f>AH26/(1+$C35)^32</f>
        <v>181.2456681137555</v>
      </c>
      <c r="AI36" s="5">
        <f>AI26/(1+$C35)^33</f>
        <v>172.61492201310045</v>
      </c>
      <c r="AJ36" s="5">
        <f>AJ26/(1+$C35)^34</f>
        <v>164.39516382200046</v>
      </c>
      <c r="AK36" s="5">
        <f>AK26/(1+$C35)^35</f>
        <v>156.56682268761944</v>
      </c>
      <c r="AL36" s="5">
        <f>AL26/(1+$C35)^36</f>
        <v>149.11125970249472</v>
      </c>
      <c r="AM36" s="5">
        <f>AM26/(1+$C35)^37</f>
        <v>142.01072352618544</v>
      </c>
      <c r="AN36" s="5">
        <f>AN26/(1+$C35)^38</f>
        <v>135.24830812017663</v>
      </c>
      <c r="AO36" s="5">
        <f>AO26/(1+$C35)^39</f>
        <v>128.8079124954063</v>
      </c>
      <c r="AP36" s="5">
        <f>AP26/(1+$C35)^40</f>
        <v>122.67420237657744</v>
      </c>
      <c r="AQ36" s="5">
        <f>AQ26/(1+$C35)^41</f>
        <v>0</v>
      </c>
    </row>
    <row r="37" spans="2:45" x14ac:dyDescent="0.25">
      <c r="B37" s="1"/>
      <c r="C37" s="5"/>
      <c r="D37" s="5"/>
      <c r="E37" s="5"/>
      <c r="F37" s="5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45" s="113" customFormat="1" x14ac:dyDescent="0.25">
      <c r="B38" s="123" t="s">
        <v>28</v>
      </c>
      <c r="C38" s="126"/>
      <c r="D38" s="127" t="s">
        <v>44</v>
      </c>
      <c r="E38" s="91" t="s">
        <v>0</v>
      </c>
      <c r="F38" s="91" t="s">
        <v>226</v>
      </c>
      <c r="G38" s="91" t="s">
        <v>227</v>
      </c>
      <c r="H38" s="91" t="s">
        <v>228</v>
      </c>
      <c r="I38" s="91" t="s">
        <v>229</v>
      </c>
      <c r="J38" s="91" t="s">
        <v>230</v>
      </c>
      <c r="K38" s="91" t="s">
        <v>231</v>
      </c>
      <c r="L38" s="91" t="s">
        <v>232</v>
      </c>
      <c r="M38" s="91" t="s">
        <v>233</v>
      </c>
      <c r="N38" s="91" t="s">
        <v>234</v>
      </c>
      <c r="O38" s="91" t="s">
        <v>235</v>
      </c>
      <c r="P38" s="91" t="s">
        <v>236</v>
      </c>
      <c r="Q38" s="91" t="s">
        <v>237</v>
      </c>
      <c r="R38" s="91" t="s">
        <v>238</v>
      </c>
      <c r="S38" s="91" t="s">
        <v>239</v>
      </c>
      <c r="T38" s="91" t="s">
        <v>240</v>
      </c>
      <c r="U38" s="91" t="s">
        <v>241</v>
      </c>
      <c r="V38" s="91" t="s">
        <v>242</v>
      </c>
      <c r="W38" s="91" t="s">
        <v>243</v>
      </c>
      <c r="X38" s="91" t="s">
        <v>244</v>
      </c>
      <c r="Y38" s="91" t="s">
        <v>245</v>
      </c>
      <c r="Z38" s="91" t="s">
        <v>246</v>
      </c>
      <c r="AA38" s="91" t="s">
        <v>247</v>
      </c>
      <c r="AB38" s="91" t="s">
        <v>248</v>
      </c>
      <c r="AC38" s="91" t="s">
        <v>249</v>
      </c>
      <c r="AD38" s="91" t="s">
        <v>250</v>
      </c>
      <c r="AE38" s="91" t="s">
        <v>251</v>
      </c>
      <c r="AF38" s="91" t="s">
        <v>252</v>
      </c>
      <c r="AG38" s="91" t="s">
        <v>253</v>
      </c>
      <c r="AH38" s="91" t="s">
        <v>254</v>
      </c>
      <c r="AI38" s="91" t="s">
        <v>255</v>
      </c>
      <c r="AJ38" s="91" t="s">
        <v>256</v>
      </c>
      <c r="AK38" s="91" t="s">
        <v>257</v>
      </c>
      <c r="AL38" s="91" t="s">
        <v>258</v>
      </c>
      <c r="AM38" s="91" t="s">
        <v>259</v>
      </c>
      <c r="AN38" s="91" t="s">
        <v>260</v>
      </c>
      <c r="AO38" s="91" t="s">
        <v>261</v>
      </c>
      <c r="AP38" s="91" t="s">
        <v>262</v>
      </c>
      <c r="AQ38" s="91" t="s">
        <v>263</v>
      </c>
      <c r="AR38" s="91" t="s">
        <v>264</v>
      </c>
      <c r="AS38" s="91" t="s">
        <v>265</v>
      </c>
    </row>
    <row r="39" spans="2:45" x14ac:dyDescent="0.25">
      <c r="B39" s="7" t="s">
        <v>15</v>
      </c>
      <c r="C39" s="8">
        <f>SUM(C36:AP36)</f>
        <v>36121.56495663667</v>
      </c>
      <c r="D39" s="6" t="s">
        <v>30</v>
      </c>
      <c r="E39" s="10">
        <f>C36-C40</f>
        <v>-11431.468253968254</v>
      </c>
      <c r="F39" s="10">
        <f>E39+D36</f>
        <v>-10209.737339380197</v>
      </c>
      <c r="G39" s="10">
        <f t="shared" ref="G39:AC39" si="27">F39+E36</f>
        <v>-9046.1840873915717</v>
      </c>
      <c r="H39" s="10">
        <f t="shared" si="27"/>
        <v>-7938.03813311669</v>
      </c>
      <c r="I39" s="10">
        <f t="shared" si="27"/>
        <v>-6882.6610338072787</v>
      </c>
      <c r="J39" s="10">
        <f t="shared" si="27"/>
        <v>-5877.5399868459344</v>
      </c>
      <c r="K39" s="10">
        <f t="shared" si="27"/>
        <v>-4920.28184688275</v>
      </c>
      <c r="L39" s="10">
        <f t="shared" si="27"/>
        <v>-4008.6074278701931</v>
      </c>
      <c r="M39" s="10">
        <f t="shared" si="27"/>
        <v>-3140.3460764296624</v>
      </c>
      <c r="N39" s="10">
        <f t="shared" si="27"/>
        <v>-2313.4305036291571</v>
      </c>
      <c r="O39" s="10">
        <f t="shared" si="27"/>
        <v>-1525.8918628667711</v>
      </c>
      <c r="P39" s="10">
        <f t="shared" si="27"/>
        <v>-775.85506214068926</v>
      </c>
      <c r="Q39" s="10">
        <f t="shared" si="27"/>
        <v>-61.534299544420946</v>
      </c>
      <c r="R39" s="10">
        <f t="shared" si="27"/>
        <v>618.77118864250144</v>
      </c>
      <c r="S39" s="10">
        <f t="shared" si="27"/>
        <v>1266.6811773919512</v>
      </c>
      <c r="T39" s="10">
        <f t="shared" si="27"/>
        <v>1662.3177405717743</v>
      </c>
      <c r="U39" s="10">
        <f t="shared" si="27"/>
        <v>2039.1144674097009</v>
      </c>
      <c r="V39" s="10">
        <f t="shared" si="27"/>
        <v>2397.9684929696309</v>
      </c>
      <c r="W39" s="10">
        <f t="shared" si="27"/>
        <v>2739.7342315981359</v>
      </c>
      <c r="X39" s="10">
        <f t="shared" si="27"/>
        <v>3065.2254112443311</v>
      </c>
      <c r="Y39" s="10">
        <f t="shared" si="27"/>
        <v>3375.2170109073741</v>
      </c>
      <c r="Z39" s="10">
        <f t="shared" si="27"/>
        <v>3670.4471058245581</v>
      </c>
      <c r="AA39" s="10">
        <f t="shared" si="27"/>
        <v>3951.6186247933047</v>
      </c>
      <c r="AB39" s="10">
        <f t="shared" si="27"/>
        <v>4219.4010238111587</v>
      </c>
      <c r="AC39" s="10">
        <f t="shared" si="27"/>
        <v>4474.4318800186384</v>
      </c>
      <c r="AD39" s="10">
        <f t="shared" ref="AD39" si="28">AC39+AB36</f>
        <v>4717.3184097400481</v>
      </c>
      <c r="AE39" s="10">
        <f t="shared" ref="AE39" si="29">AD39+AC36</f>
        <v>4948.6389142366279</v>
      </c>
      <c r="AF39" s="10">
        <f t="shared" ref="AF39" si="30">AE39+AD36</f>
        <v>5168.9441566143232</v>
      </c>
      <c r="AG39" s="10">
        <f t="shared" ref="AG39" si="31">AF39+AE36</f>
        <v>5378.7586731645097</v>
      </c>
      <c r="AH39" s="10">
        <f t="shared" ref="AH39" si="32">AG39+AF36</f>
        <v>5578.582022259925</v>
      </c>
      <c r="AI39" s="10">
        <f t="shared" ref="AI39" si="33">AH39+AG36</f>
        <v>5768.8899737793681</v>
      </c>
      <c r="AJ39" s="10">
        <f t="shared" ref="AJ39" si="34">AI39+AH36</f>
        <v>5950.1356418931236</v>
      </c>
      <c r="AK39" s="10">
        <f t="shared" ref="AK39" si="35">AJ39+AI36</f>
        <v>6122.7505639062238</v>
      </c>
      <c r="AL39" s="10">
        <f t="shared" ref="AL39" si="36">AK39+AJ36</f>
        <v>6287.1457277282243</v>
      </c>
      <c r="AM39" s="10">
        <f t="shared" ref="AM39" si="37">AL39+AK36</f>
        <v>6443.7125504158439</v>
      </c>
      <c r="AN39" s="10">
        <f t="shared" ref="AN39" si="38">AM39+AL36</f>
        <v>6592.8238101183388</v>
      </c>
      <c r="AO39" s="10">
        <f t="shared" ref="AO39" si="39">AN39+AM36</f>
        <v>6734.8345336445245</v>
      </c>
      <c r="AP39" s="10">
        <f t="shared" ref="AP39" si="40">AO39+AN36</f>
        <v>6870.0828417647008</v>
      </c>
      <c r="AQ39" s="10">
        <f t="shared" ref="AQ39" si="41">AP39+AO36</f>
        <v>6998.8907542601073</v>
      </c>
      <c r="AR39" s="10">
        <f t="shared" ref="AR39" si="42">AQ39+AP36</f>
        <v>7121.5649566366847</v>
      </c>
      <c r="AS39" s="10">
        <f t="shared" ref="AS39" si="43">AR39+AQ36</f>
        <v>7121.5649566366847</v>
      </c>
    </row>
    <row r="40" spans="2:45" x14ac:dyDescent="0.25">
      <c r="B40" s="7" t="s">
        <v>17</v>
      </c>
      <c r="C40" s="8">
        <f>C30</f>
        <v>29000</v>
      </c>
      <c r="D40" s="6"/>
      <c r="G40" t="s">
        <v>171</v>
      </c>
    </row>
    <row r="41" spans="2:45" x14ac:dyDescent="0.25">
      <c r="B41" s="7" t="s">
        <v>18</v>
      </c>
      <c r="C41" s="8"/>
      <c r="D41" s="6"/>
    </row>
    <row r="42" spans="2:45" x14ac:dyDescent="0.25">
      <c r="B42" s="7" t="s">
        <v>14</v>
      </c>
      <c r="C42" s="8">
        <f>C39-C40</f>
        <v>7121.5649566366701</v>
      </c>
      <c r="D42" s="6"/>
    </row>
    <row r="43" spans="2:45" x14ac:dyDescent="0.25">
      <c r="B43" s="29" t="s">
        <v>9</v>
      </c>
      <c r="C43" s="15">
        <f>(C42/C40)*100%</f>
        <v>0.24557120540126448</v>
      </c>
      <c r="D43" s="5" t="s">
        <v>181</v>
      </c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45" ht="15.75" thickBot="1" x14ac:dyDescent="0.3">
      <c r="E44" s="10"/>
    </row>
    <row r="45" spans="2:45" x14ac:dyDescent="0.25">
      <c r="B45" s="83" t="s">
        <v>155</v>
      </c>
      <c r="C45" s="88"/>
      <c r="F45" s="2"/>
    </row>
    <row r="46" spans="2:45" x14ac:dyDescent="0.25">
      <c r="B46" s="42" t="s">
        <v>151</v>
      </c>
      <c r="C46" s="43" t="s">
        <v>191</v>
      </c>
      <c r="F46" s="2"/>
    </row>
    <row r="47" spans="2:45" x14ac:dyDescent="0.25">
      <c r="B47" s="42" t="s">
        <v>152</v>
      </c>
      <c r="C47" s="43" t="s">
        <v>157</v>
      </c>
    </row>
    <row r="48" spans="2:45" x14ac:dyDescent="0.25">
      <c r="B48" s="42"/>
      <c r="C48" s="45"/>
    </row>
    <row r="49" spans="2:3" x14ac:dyDescent="0.25">
      <c r="B49" s="84" t="s">
        <v>156</v>
      </c>
      <c r="C49" s="108"/>
    </row>
    <row r="50" spans="2:3" x14ac:dyDescent="0.25">
      <c r="B50" s="42" t="s">
        <v>153</v>
      </c>
      <c r="C50" s="43" t="s">
        <v>216</v>
      </c>
    </row>
    <row r="51" spans="2:3" ht="15.75" thickBot="1" x14ac:dyDescent="0.3">
      <c r="B51" s="46" t="s">
        <v>154</v>
      </c>
      <c r="C51" s="47" t="s">
        <v>217</v>
      </c>
    </row>
  </sheetData>
  <phoneticPr fontId="6" type="noConversion"/>
  <pageMargins left="0.7" right="0.7" top="0.75" bottom="0.75" header="0.3" footer="0.3"/>
  <ignoredErrors>
    <ignoredError sqref="C20:AQ20" formula="1"/>
  </ignoredErrors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6"/>
  <sheetViews>
    <sheetView workbookViewId="0">
      <selection activeCell="C7" sqref="C7"/>
    </sheetView>
  </sheetViews>
  <sheetFormatPr defaultRowHeight="15" x14ac:dyDescent="0.25"/>
  <cols>
    <col min="1" max="1" width="98.7109375" customWidth="1"/>
    <col min="2" max="2" width="13.85546875" bestFit="1" customWidth="1"/>
    <col min="3" max="3" width="20.85546875" customWidth="1"/>
    <col min="4" max="4" width="24.7109375" customWidth="1"/>
    <col min="5" max="5" width="76.7109375" customWidth="1"/>
    <col min="6" max="6" width="88.140625" customWidth="1"/>
  </cols>
  <sheetData>
    <row r="1" spans="1:6" x14ac:dyDescent="0.25">
      <c r="A1" s="75" t="s">
        <v>289</v>
      </c>
      <c r="E1" t="s">
        <v>13</v>
      </c>
    </row>
    <row r="2" spans="1:6" x14ac:dyDescent="0.25">
      <c r="A2" s="74" t="s">
        <v>325</v>
      </c>
    </row>
    <row r="3" spans="1:6" ht="45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6" x14ac:dyDescent="0.25">
      <c r="B4" s="13"/>
    </row>
    <row r="5" spans="1:6" x14ac:dyDescent="0.25">
      <c r="A5" t="s">
        <v>86</v>
      </c>
      <c r="B5" s="97">
        <f>'BC WP-LW-grotere zaak'!C43</f>
        <v>0.24557120540126448</v>
      </c>
      <c r="C5" s="86"/>
      <c r="D5" s="86"/>
      <c r="E5" t="s">
        <v>81</v>
      </c>
    </row>
    <row r="6" spans="1:6" x14ac:dyDescent="0.25">
      <c r="B6" s="97"/>
      <c r="C6" s="86"/>
      <c r="D6" s="86"/>
    </row>
    <row r="7" spans="1:6" ht="30" x14ac:dyDescent="0.25">
      <c r="A7" s="40" t="s">
        <v>127</v>
      </c>
      <c r="B7" s="86"/>
      <c r="C7" s="86">
        <f>'BC WP-LW-grotere zaak'!B4*0.6</f>
        <v>-6777</v>
      </c>
      <c r="D7" s="86"/>
      <c r="E7" s="103" t="s">
        <v>125</v>
      </c>
    </row>
    <row r="8" spans="1:6" x14ac:dyDescent="0.25">
      <c r="A8" t="s">
        <v>88</v>
      </c>
      <c r="B8" s="86"/>
      <c r="C8" s="86">
        <f>'BC WP-LW-grotere zaak'!B5*1.9</f>
        <v>8755.1999999999989</v>
      </c>
      <c r="D8" s="86"/>
      <c r="E8" t="s">
        <v>124</v>
      </c>
    </row>
    <row r="9" spans="1:6" x14ac:dyDescent="0.25">
      <c r="A9" t="s">
        <v>89</v>
      </c>
      <c r="B9" s="86"/>
      <c r="C9" s="86">
        <f>C7+C8</f>
        <v>1978.1999999999989</v>
      </c>
      <c r="D9" s="86"/>
      <c r="E9" t="s">
        <v>126</v>
      </c>
    </row>
    <row r="10" spans="1:6" x14ac:dyDescent="0.25">
      <c r="B10" s="86"/>
      <c r="C10" s="86"/>
      <c r="D10" s="86"/>
    </row>
    <row r="11" spans="1:6" ht="30" x14ac:dyDescent="0.25">
      <c r="A11" t="s">
        <v>90</v>
      </c>
      <c r="B11" s="86"/>
      <c r="C11" s="86"/>
      <c r="D11" s="86" t="s">
        <v>110</v>
      </c>
      <c r="E11" s="104" t="s">
        <v>130</v>
      </c>
      <c r="F11" s="2" t="s">
        <v>159</v>
      </c>
    </row>
    <row r="12" spans="1:6" x14ac:dyDescent="0.25">
      <c r="A12" s="40"/>
      <c r="B12" s="86"/>
      <c r="C12" s="86"/>
      <c r="D12" s="86"/>
      <c r="E12" s="40" t="s">
        <v>169</v>
      </c>
      <c r="F12" s="116" t="s">
        <v>109</v>
      </c>
    </row>
    <row r="13" spans="1:6" x14ac:dyDescent="0.25">
      <c r="B13" s="86"/>
      <c r="C13" s="98"/>
      <c r="D13" s="86"/>
      <c r="E13" s="38"/>
      <c r="F13" s="25" t="s">
        <v>108</v>
      </c>
    </row>
    <row r="14" spans="1:6" x14ac:dyDescent="0.25">
      <c r="A14" s="40" t="s">
        <v>186</v>
      </c>
      <c r="B14" s="86">
        <v>2</v>
      </c>
      <c r="C14" s="86">
        <v>2</v>
      </c>
      <c r="D14" s="86">
        <v>3</v>
      </c>
      <c r="E14" s="40" t="s">
        <v>132</v>
      </c>
      <c r="F14" s="117" t="s">
        <v>94</v>
      </c>
    </row>
    <row r="15" spans="1:6" x14ac:dyDescent="0.25">
      <c r="B15" s="86"/>
      <c r="C15" s="26"/>
      <c r="D15" s="86"/>
      <c r="E15" s="40" t="s">
        <v>82</v>
      </c>
      <c r="F15" s="117" t="s">
        <v>291</v>
      </c>
    </row>
    <row r="16" spans="1:6" x14ac:dyDescent="0.25">
      <c r="B16" s="86"/>
      <c r="C16" s="26"/>
      <c r="D16" s="86"/>
      <c r="F16" s="16" t="s">
        <v>95</v>
      </c>
    </row>
    <row r="17" spans="1:6" x14ac:dyDescent="0.25">
      <c r="A17" t="s">
        <v>131</v>
      </c>
      <c r="B17" s="99">
        <v>0.6</v>
      </c>
      <c r="C17" s="99">
        <v>0.1</v>
      </c>
      <c r="D17" s="99">
        <v>0.3</v>
      </c>
      <c r="E17" s="2" t="s">
        <v>84</v>
      </c>
      <c r="F17" s="48" t="s">
        <v>74</v>
      </c>
    </row>
    <row r="18" spans="1:6" ht="18.75" x14ac:dyDescent="0.3">
      <c r="B18" s="4"/>
      <c r="C18" s="4"/>
      <c r="D18" s="4"/>
      <c r="E18" s="14"/>
      <c r="F18" s="16" t="s">
        <v>96</v>
      </c>
    </row>
    <row r="19" spans="1:6" x14ac:dyDescent="0.25">
      <c r="A19" s="110" t="s">
        <v>128</v>
      </c>
      <c r="B19" s="111">
        <f>B14*B17+C14*C17+D14*D17</f>
        <v>2.2999999999999998</v>
      </c>
      <c r="E19" s="40" t="s">
        <v>129</v>
      </c>
      <c r="F19" s="16" t="s">
        <v>97</v>
      </c>
    </row>
    <row r="20" spans="1:6" x14ac:dyDescent="0.25">
      <c r="F20" s="48" t="s">
        <v>99</v>
      </c>
    </row>
    <row r="21" spans="1:6" x14ac:dyDescent="0.25">
      <c r="F21" s="116" t="s">
        <v>305</v>
      </c>
    </row>
    <row r="22" spans="1:6" x14ac:dyDescent="0.25">
      <c r="F22" s="48" t="s">
        <v>100</v>
      </c>
    </row>
    <row r="23" spans="1:6" x14ac:dyDescent="0.25">
      <c r="F23" s="48" t="s">
        <v>101</v>
      </c>
    </row>
    <row r="24" spans="1:6" x14ac:dyDescent="0.25">
      <c r="F24" s="48" t="s">
        <v>293</v>
      </c>
    </row>
    <row r="25" spans="1:6" x14ac:dyDescent="0.25">
      <c r="F25" s="48" t="s">
        <v>304</v>
      </c>
    </row>
    <row r="26" spans="1:6" x14ac:dyDescent="0.25">
      <c r="F26" s="48" t="s">
        <v>102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S51"/>
  <sheetViews>
    <sheetView workbookViewId="0">
      <selection activeCell="B9" sqref="B9"/>
    </sheetView>
  </sheetViews>
  <sheetFormatPr defaultRowHeight="15" x14ac:dyDescent="0.25"/>
  <cols>
    <col min="1" max="1" width="17.28515625" bestFit="1" customWidth="1"/>
    <col min="2" max="2" width="85.85546875" customWidth="1"/>
    <col min="3" max="3" width="12.7109375" customWidth="1"/>
    <col min="4" max="4" width="15.85546875" customWidth="1"/>
    <col min="5" max="45" width="12.7109375" customWidth="1"/>
  </cols>
  <sheetData>
    <row r="1" spans="1:45" x14ac:dyDescent="0.25">
      <c r="B1" s="74" t="s">
        <v>120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  <c r="O1" s="89" t="s">
        <v>237</v>
      </c>
      <c r="P1" s="89" t="s">
        <v>238</v>
      </c>
      <c r="Q1" s="89" t="s">
        <v>239</v>
      </c>
      <c r="R1" s="89" t="s">
        <v>240</v>
      </c>
      <c r="S1" s="89" t="s">
        <v>241</v>
      </c>
      <c r="T1" s="89" t="s">
        <v>242</v>
      </c>
      <c r="U1" s="89" t="s">
        <v>243</v>
      </c>
      <c r="V1" s="89" t="s">
        <v>244</v>
      </c>
      <c r="W1" s="89" t="s">
        <v>245</v>
      </c>
      <c r="X1" s="89" t="s">
        <v>246</v>
      </c>
      <c r="Y1" s="89" t="s">
        <v>247</v>
      </c>
      <c r="Z1" s="89" t="s">
        <v>248</v>
      </c>
      <c r="AA1" s="89" t="s">
        <v>249</v>
      </c>
      <c r="AB1" s="89" t="s">
        <v>250</v>
      </c>
      <c r="AC1" s="89" t="s">
        <v>251</v>
      </c>
      <c r="AD1" s="89" t="s">
        <v>252</v>
      </c>
      <c r="AE1" s="89" t="s">
        <v>253</v>
      </c>
      <c r="AF1" s="89" t="s">
        <v>254</v>
      </c>
      <c r="AG1" s="89" t="s">
        <v>255</v>
      </c>
      <c r="AH1" s="89" t="s">
        <v>256</v>
      </c>
      <c r="AI1" s="89" t="s">
        <v>257</v>
      </c>
      <c r="AJ1" s="89" t="s">
        <v>258</v>
      </c>
      <c r="AK1" s="89" t="s">
        <v>259</v>
      </c>
      <c r="AL1" s="89" t="s">
        <v>260</v>
      </c>
      <c r="AM1" s="89" t="s">
        <v>261</v>
      </c>
      <c r="AN1" s="89" t="s">
        <v>262</v>
      </c>
      <c r="AO1" s="89" t="s">
        <v>263</v>
      </c>
      <c r="AP1" s="89" t="s">
        <v>264</v>
      </c>
      <c r="AQ1" s="89" t="s">
        <v>265</v>
      </c>
      <c r="AR1" s="89" t="s">
        <v>266</v>
      </c>
      <c r="AS1" s="89" t="s">
        <v>267</v>
      </c>
    </row>
    <row r="2" spans="1:45" x14ac:dyDescent="0.25">
      <c r="B2" s="2" t="s">
        <v>121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x14ac:dyDescent="0.25">
      <c r="B3" s="6" t="s">
        <v>111</v>
      </c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x14ac:dyDescent="0.25">
      <c r="A4" t="s">
        <v>307</v>
      </c>
      <c r="B4" s="113">
        <v>-2027</v>
      </c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x14ac:dyDescent="0.25">
      <c r="A5" t="s">
        <v>308</v>
      </c>
      <c r="B5" s="133">
        <v>806</v>
      </c>
      <c r="C5" s="54"/>
      <c r="D5" s="54"/>
      <c r="E5" s="54"/>
      <c r="F5" s="54"/>
      <c r="G5" s="54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</row>
    <row r="6" spans="1:45" x14ac:dyDescent="0.25">
      <c r="A6" t="s">
        <v>286</v>
      </c>
      <c r="B6" s="134">
        <v>0.22</v>
      </c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5">
      <c r="A7" t="s">
        <v>287</v>
      </c>
      <c r="B7" s="134">
        <v>0.8</v>
      </c>
      <c r="C7" s="3"/>
      <c r="D7" s="3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x14ac:dyDescent="0.25">
      <c r="B8" s="129"/>
      <c r="C8" s="82"/>
      <c r="D8" s="82"/>
      <c r="E8" s="82"/>
      <c r="F8" s="82"/>
      <c r="G8" s="8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30" x14ac:dyDescent="0.25">
      <c r="B9" s="148" t="s">
        <v>215</v>
      </c>
      <c r="C9" s="5">
        <f>$B5*$B7+$B4*$B6</f>
        <v>198.86000000000007</v>
      </c>
      <c r="D9" s="5">
        <f t="shared" ref="D9:AP9" si="0">$B5*$B7+$B4*$B6</f>
        <v>198.86000000000007</v>
      </c>
      <c r="E9" s="5">
        <f t="shared" si="0"/>
        <v>198.86000000000007</v>
      </c>
      <c r="F9" s="5">
        <f t="shared" si="0"/>
        <v>198.86000000000007</v>
      </c>
      <c r="G9" s="5">
        <f t="shared" si="0"/>
        <v>198.86000000000007</v>
      </c>
      <c r="H9" s="5">
        <f t="shared" si="0"/>
        <v>198.86000000000007</v>
      </c>
      <c r="I9" s="5">
        <f t="shared" si="0"/>
        <v>198.86000000000007</v>
      </c>
      <c r="J9" s="5">
        <f t="shared" si="0"/>
        <v>198.86000000000007</v>
      </c>
      <c r="K9" s="5">
        <f t="shared" si="0"/>
        <v>198.86000000000007</v>
      </c>
      <c r="L9" s="5">
        <f t="shared" si="0"/>
        <v>198.86000000000007</v>
      </c>
      <c r="M9" s="5">
        <f t="shared" si="0"/>
        <v>198.86000000000007</v>
      </c>
      <c r="N9" s="5">
        <f t="shared" si="0"/>
        <v>198.86000000000007</v>
      </c>
      <c r="O9" s="5">
        <f t="shared" si="0"/>
        <v>198.86000000000007</v>
      </c>
      <c r="P9" s="5">
        <f t="shared" si="0"/>
        <v>198.86000000000007</v>
      </c>
      <c r="Q9" s="5">
        <f t="shared" si="0"/>
        <v>198.86000000000007</v>
      </c>
      <c r="R9" s="5">
        <f t="shared" si="0"/>
        <v>198.86000000000007</v>
      </c>
      <c r="S9" s="5">
        <f t="shared" si="0"/>
        <v>198.86000000000007</v>
      </c>
      <c r="T9" s="5">
        <f t="shared" si="0"/>
        <v>198.86000000000007</v>
      </c>
      <c r="U9" s="5">
        <f t="shared" si="0"/>
        <v>198.86000000000007</v>
      </c>
      <c r="V9" s="5">
        <f t="shared" si="0"/>
        <v>198.86000000000007</v>
      </c>
      <c r="W9" s="5">
        <f t="shared" si="0"/>
        <v>198.86000000000007</v>
      </c>
      <c r="X9" s="5">
        <f t="shared" si="0"/>
        <v>198.86000000000007</v>
      </c>
      <c r="Y9" s="5">
        <f t="shared" si="0"/>
        <v>198.86000000000007</v>
      </c>
      <c r="Z9" s="5">
        <f t="shared" si="0"/>
        <v>198.86000000000007</v>
      </c>
      <c r="AA9" s="5">
        <f t="shared" si="0"/>
        <v>198.86000000000007</v>
      </c>
      <c r="AB9" s="5">
        <f t="shared" si="0"/>
        <v>198.86000000000007</v>
      </c>
      <c r="AC9" s="5">
        <f t="shared" si="0"/>
        <v>198.86000000000007</v>
      </c>
      <c r="AD9" s="5">
        <f t="shared" si="0"/>
        <v>198.86000000000007</v>
      </c>
      <c r="AE9" s="5">
        <f t="shared" si="0"/>
        <v>198.86000000000007</v>
      </c>
      <c r="AF9" s="5">
        <f t="shared" si="0"/>
        <v>198.86000000000007</v>
      </c>
      <c r="AG9" s="5">
        <f t="shared" si="0"/>
        <v>198.86000000000007</v>
      </c>
      <c r="AH9" s="5">
        <f t="shared" si="0"/>
        <v>198.86000000000007</v>
      </c>
      <c r="AI9" s="5">
        <f t="shared" si="0"/>
        <v>198.86000000000007</v>
      </c>
      <c r="AJ9" s="5">
        <f t="shared" si="0"/>
        <v>198.86000000000007</v>
      </c>
      <c r="AK9" s="5">
        <f t="shared" si="0"/>
        <v>198.86000000000007</v>
      </c>
      <c r="AL9" s="5">
        <f t="shared" si="0"/>
        <v>198.86000000000007</v>
      </c>
      <c r="AM9" s="5">
        <f t="shared" si="0"/>
        <v>198.86000000000007</v>
      </c>
      <c r="AN9" s="5">
        <f t="shared" si="0"/>
        <v>198.86000000000007</v>
      </c>
      <c r="AO9" s="5">
        <f t="shared" si="0"/>
        <v>198.86000000000007</v>
      </c>
      <c r="AP9" s="5">
        <f t="shared" si="0"/>
        <v>198.86000000000007</v>
      </c>
      <c r="AQ9" s="5">
        <v>0</v>
      </c>
      <c r="AR9" s="5"/>
      <c r="AS9" s="5"/>
    </row>
    <row r="10" spans="1:45" x14ac:dyDescent="0.25">
      <c r="B10" t="s">
        <v>66</v>
      </c>
      <c r="C10" s="6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x14ac:dyDescent="0.25">
      <c r="B11" t="s">
        <v>68</v>
      </c>
      <c r="C11" s="6"/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x14ac:dyDescent="0.25">
      <c r="B12" t="s">
        <v>46</v>
      </c>
      <c r="C12" s="6">
        <v>50</v>
      </c>
      <c r="D12" s="6">
        <v>50</v>
      </c>
      <c r="E12" s="6">
        <v>50</v>
      </c>
      <c r="F12" s="6">
        <v>50</v>
      </c>
      <c r="G12" s="6">
        <v>50</v>
      </c>
      <c r="H12" s="6">
        <v>50</v>
      </c>
      <c r="I12" s="6">
        <v>50</v>
      </c>
      <c r="J12" s="6">
        <v>50</v>
      </c>
      <c r="K12" s="6">
        <v>50</v>
      </c>
      <c r="L12" s="6">
        <v>50</v>
      </c>
      <c r="M12" s="6">
        <v>50</v>
      </c>
      <c r="N12" s="6">
        <v>50</v>
      </c>
      <c r="O12" s="6">
        <v>50</v>
      </c>
      <c r="P12" s="6">
        <v>50</v>
      </c>
      <c r="Q12" s="6">
        <v>50</v>
      </c>
      <c r="R12" s="6">
        <v>50</v>
      </c>
      <c r="S12" s="6">
        <v>50</v>
      </c>
      <c r="T12" s="6">
        <v>50</v>
      </c>
      <c r="U12" s="6">
        <v>50</v>
      </c>
      <c r="V12" s="6">
        <v>50</v>
      </c>
      <c r="W12" s="6">
        <v>50</v>
      </c>
      <c r="X12" s="6">
        <v>50</v>
      </c>
      <c r="Y12" s="6">
        <v>50</v>
      </c>
      <c r="Z12" s="6">
        <v>50</v>
      </c>
      <c r="AA12" s="6">
        <v>50</v>
      </c>
      <c r="AB12" s="6">
        <v>50</v>
      </c>
      <c r="AC12" s="6">
        <v>50</v>
      </c>
      <c r="AD12" s="6">
        <v>50</v>
      </c>
      <c r="AE12" s="6">
        <v>50</v>
      </c>
      <c r="AF12" s="6">
        <v>50</v>
      </c>
      <c r="AG12" s="6">
        <v>50</v>
      </c>
      <c r="AH12" s="6">
        <v>50</v>
      </c>
      <c r="AI12" s="6">
        <v>50</v>
      </c>
      <c r="AJ12" s="6">
        <v>50</v>
      </c>
      <c r="AK12" s="6">
        <v>50</v>
      </c>
      <c r="AL12" s="6">
        <v>50</v>
      </c>
      <c r="AM12" s="6">
        <v>50</v>
      </c>
      <c r="AN12" s="6">
        <v>50</v>
      </c>
      <c r="AO12" s="6">
        <v>50</v>
      </c>
      <c r="AP12" s="6">
        <v>50</v>
      </c>
      <c r="AQ12" s="6"/>
      <c r="AR12" s="5"/>
      <c r="AS12" s="5"/>
    </row>
    <row r="13" spans="1:45" x14ac:dyDescent="0.25">
      <c r="B13" t="s">
        <v>19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x14ac:dyDescent="0.25">
      <c r="B14" t="s">
        <v>21</v>
      </c>
      <c r="C14" s="6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x14ac:dyDescent="0.25">
      <c r="B15" s="1" t="s">
        <v>1</v>
      </c>
      <c r="C15" s="5">
        <f>C9-SUM(C10:C14)</f>
        <v>148.86000000000007</v>
      </c>
      <c r="D15" s="5">
        <f>D9-SUM(D10:D14)</f>
        <v>148.86000000000007</v>
      </c>
      <c r="E15" s="5">
        <f>E9-SUM(E10:E14)</f>
        <v>148.86000000000007</v>
      </c>
      <c r="F15" s="5">
        <f>F9-SUM(F10:F14)</f>
        <v>148.86000000000007</v>
      </c>
      <c r="G15" s="5">
        <f>G9-SUM(G10:G14)</f>
        <v>148.86000000000007</v>
      </c>
      <c r="H15" s="5">
        <f t="shared" ref="H15:AP15" si="1">H9-SUM(H10:H14)</f>
        <v>148.86000000000007</v>
      </c>
      <c r="I15" s="5">
        <f t="shared" si="1"/>
        <v>148.86000000000007</v>
      </c>
      <c r="J15" s="5">
        <f t="shared" si="1"/>
        <v>148.86000000000007</v>
      </c>
      <c r="K15" s="5">
        <f t="shared" si="1"/>
        <v>148.86000000000007</v>
      </c>
      <c r="L15" s="5">
        <f t="shared" si="1"/>
        <v>148.86000000000007</v>
      </c>
      <c r="M15" s="5">
        <f t="shared" si="1"/>
        <v>148.86000000000007</v>
      </c>
      <c r="N15" s="5">
        <f t="shared" si="1"/>
        <v>148.86000000000007</v>
      </c>
      <c r="O15" s="5">
        <f t="shared" si="1"/>
        <v>148.86000000000007</v>
      </c>
      <c r="P15" s="5">
        <f t="shared" si="1"/>
        <v>148.86000000000007</v>
      </c>
      <c r="Q15" s="5">
        <f t="shared" si="1"/>
        <v>148.86000000000007</v>
      </c>
      <c r="R15" s="5">
        <f t="shared" si="1"/>
        <v>148.86000000000007</v>
      </c>
      <c r="S15" s="5">
        <f t="shared" si="1"/>
        <v>148.86000000000007</v>
      </c>
      <c r="T15" s="5">
        <f t="shared" si="1"/>
        <v>148.86000000000007</v>
      </c>
      <c r="U15" s="5">
        <f t="shared" si="1"/>
        <v>148.86000000000007</v>
      </c>
      <c r="V15" s="5">
        <f t="shared" si="1"/>
        <v>148.86000000000007</v>
      </c>
      <c r="W15" s="5">
        <f t="shared" si="1"/>
        <v>148.86000000000007</v>
      </c>
      <c r="X15" s="5">
        <f t="shared" si="1"/>
        <v>148.86000000000007</v>
      </c>
      <c r="Y15" s="5">
        <f t="shared" si="1"/>
        <v>148.86000000000007</v>
      </c>
      <c r="Z15" s="5">
        <f t="shared" si="1"/>
        <v>148.86000000000007</v>
      </c>
      <c r="AA15" s="5">
        <f t="shared" si="1"/>
        <v>148.86000000000007</v>
      </c>
      <c r="AB15" s="5">
        <f t="shared" si="1"/>
        <v>148.86000000000007</v>
      </c>
      <c r="AC15" s="5">
        <f t="shared" si="1"/>
        <v>148.86000000000007</v>
      </c>
      <c r="AD15" s="5">
        <f t="shared" si="1"/>
        <v>148.86000000000007</v>
      </c>
      <c r="AE15" s="5">
        <f t="shared" si="1"/>
        <v>148.86000000000007</v>
      </c>
      <c r="AF15" s="5">
        <f t="shared" si="1"/>
        <v>148.86000000000007</v>
      </c>
      <c r="AG15" s="5">
        <f t="shared" si="1"/>
        <v>148.86000000000007</v>
      </c>
      <c r="AH15" s="5">
        <f t="shared" si="1"/>
        <v>148.86000000000007</v>
      </c>
      <c r="AI15" s="5">
        <f t="shared" si="1"/>
        <v>148.86000000000007</v>
      </c>
      <c r="AJ15" s="5">
        <f t="shared" si="1"/>
        <v>148.86000000000007</v>
      </c>
      <c r="AK15" s="5">
        <f t="shared" si="1"/>
        <v>148.86000000000007</v>
      </c>
      <c r="AL15" s="5">
        <f t="shared" si="1"/>
        <v>148.86000000000007</v>
      </c>
      <c r="AM15" s="5">
        <f t="shared" si="1"/>
        <v>148.86000000000007</v>
      </c>
      <c r="AN15" s="5">
        <f t="shared" si="1"/>
        <v>148.86000000000007</v>
      </c>
      <c r="AO15" s="5">
        <f t="shared" si="1"/>
        <v>148.86000000000007</v>
      </c>
      <c r="AP15" s="5">
        <f t="shared" si="1"/>
        <v>148.86000000000007</v>
      </c>
      <c r="AQ15" s="5"/>
      <c r="AR15" s="5"/>
      <c r="AS15" s="5"/>
    </row>
    <row r="16" spans="1:45" ht="30" x14ac:dyDescent="0.25">
      <c r="B16" s="55" t="s">
        <v>16</v>
      </c>
      <c r="C16" s="6">
        <f>$C30/15</f>
        <v>383.33333333333331</v>
      </c>
      <c r="D16" s="6">
        <f t="shared" ref="D16:Q16" si="2">$C30/15</f>
        <v>383.33333333333331</v>
      </c>
      <c r="E16" s="6">
        <f t="shared" si="2"/>
        <v>383.33333333333331</v>
      </c>
      <c r="F16" s="6">
        <f t="shared" si="2"/>
        <v>383.33333333333331</v>
      </c>
      <c r="G16" s="6">
        <f t="shared" si="2"/>
        <v>383.33333333333331</v>
      </c>
      <c r="H16" s="6">
        <f t="shared" si="2"/>
        <v>383.33333333333331</v>
      </c>
      <c r="I16" s="6">
        <f t="shared" si="2"/>
        <v>383.33333333333331</v>
      </c>
      <c r="J16" s="6">
        <f t="shared" si="2"/>
        <v>383.33333333333331</v>
      </c>
      <c r="K16" s="6">
        <f t="shared" si="2"/>
        <v>383.33333333333331</v>
      </c>
      <c r="L16" s="6">
        <f t="shared" si="2"/>
        <v>383.33333333333331</v>
      </c>
      <c r="M16" s="6">
        <f t="shared" si="2"/>
        <v>383.33333333333331</v>
      </c>
      <c r="N16" s="6">
        <f t="shared" si="2"/>
        <v>383.33333333333331</v>
      </c>
      <c r="O16" s="6">
        <f t="shared" si="2"/>
        <v>383.33333333333331</v>
      </c>
      <c r="P16" s="6">
        <f t="shared" si="2"/>
        <v>383.33333333333331</v>
      </c>
      <c r="Q16" s="6">
        <f t="shared" si="2"/>
        <v>383.33333333333331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/>
      <c r="AR16" s="5"/>
      <c r="AS16" s="5"/>
    </row>
    <row r="17" spans="2:45" x14ac:dyDescent="0.25">
      <c r="B17" s="1" t="s">
        <v>2</v>
      </c>
      <c r="C17" s="5">
        <f t="shared" ref="C17:AP17" si="3">C15-C16</f>
        <v>-234.47333333333324</v>
      </c>
      <c r="D17" s="5">
        <f t="shared" si="3"/>
        <v>-234.47333333333324</v>
      </c>
      <c r="E17" s="5">
        <f t="shared" si="3"/>
        <v>-234.47333333333324</v>
      </c>
      <c r="F17" s="5">
        <f t="shared" si="3"/>
        <v>-234.47333333333324</v>
      </c>
      <c r="G17" s="5">
        <f t="shared" si="3"/>
        <v>-234.47333333333324</v>
      </c>
      <c r="H17" s="5">
        <f t="shared" si="3"/>
        <v>-234.47333333333324</v>
      </c>
      <c r="I17" s="5">
        <f t="shared" si="3"/>
        <v>-234.47333333333324</v>
      </c>
      <c r="J17" s="5">
        <f t="shared" si="3"/>
        <v>-234.47333333333324</v>
      </c>
      <c r="K17" s="5">
        <f t="shared" si="3"/>
        <v>-234.47333333333324</v>
      </c>
      <c r="L17" s="5">
        <f t="shared" si="3"/>
        <v>-234.47333333333324</v>
      </c>
      <c r="M17" s="5">
        <f t="shared" si="3"/>
        <v>-234.47333333333324</v>
      </c>
      <c r="N17" s="5">
        <f t="shared" si="3"/>
        <v>-234.47333333333324</v>
      </c>
      <c r="O17" s="5">
        <f t="shared" si="3"/>
        <v>-234.47333333333324</v>
      </c>
      <c r="P17" s="5">
        <f t="shared" si="3"/>
        <v>-234.47333333333324</v>
      </c>
      <c r="Q17" s="5">
        <f t="shared" si="3"/>
        <v>-234.47333333333324</v>
      </c>
      <c r="R17" s="5">
        <f t="shared" si="3"/>
        <v>148.86000000000007</v>
      </c>
      <c r="S17" s="5">
        <f t="shared" si="3"/>
        <v>148.86000000000007</v>
      </c>
      <c r="T17" s="5">
        <f t="shared" si="3"/>
        <v>148.86000000000007</v>
      </c>
      <c r="U17" s="5">
        <f t="shared" si="3"/>
        <v>148.86000000000007</v>
      </c>
      <c r="V17" s="5">
        <f t="shared" si="3"/>
        <v>148.86000000000007</v>
      </c>
      <c r="W17" s="5">
        <f t="shared" si="3"/>
        <v>148.86000000000007</v>
      </c>
      <c r="X17" s="5">
        <f t="shared" si="3"/>
        <v>148.86000000000007</v>
      </c>
      <c r="Y17" s="5">
        <f t="shared" si="3"/>
        <v>148.86000000000007</v>
      </c>
      <c r="Z17" s="5">
        <f t="shared" si="3"/>
        <v>148.86000000000007</v>
      </c>
      <c r="AA17" s="5">
        <f t="shared" si="3"/>
        <v>148.86000000000007</v>
      </c>
      <c r="AB17" s="5">
        <f t="shared" si="3"/>
        <v>148.86000000000007</v>
      </c>
      <c r="AC17" s="5">
        <f t="shared" si="3"/>
        <v>148.86000000000007</v>
      </c>
      <c r="AD17" s="5">
        <f t="shared" si="3"/>
        <v>148.86000000000007</v>
      </c>
      <c r="AE17" s="5">
        <f t="shared" si="3"/>
        <v>148.86000000000007</v>
      </c>
      <c r="AF17" s="5">
        <f t="shared" si="3"/>
        <v>148.86000000000007</v>
      </c>
      <c r="AG17" s="5">
        <f t="shared" si="3"/>
        <v>148.86000000000007</v>
      </c>
      <c r="AH17" s="5">
        <f t="shared" si="3"/>
        <v>148.86000000000007</v>
      </c>
      <c r="AI17" s="5">
        <f t="shared" si="3"/>
        <v>148.86000000000007</v>
      </c>
      <c r="AJ17" s="5">
        <f t="shared" si="3"/>
        <v>148.86000000000007</v>
      </c>
      <c r="AK17" s="5">
        <f t="shared" si="3"/>
        <v>148.86000000000007</v>
      </c>
      <c r="AL17" s="5">
        <f t="shared" si="3"/>
        <v>148.86000000000007</v>
      </c>
      <c r="AM17" s="5">
        <f t="shared" si="3"/>
        <v>148.86000000000007</v>
      </c>
      <c r="AN17" s="5">
        <f t="shared" si="3"/>
        <v>148.86000000000007</v>
      </c>
      <c r="AO17" s="5">
        <f t="shared" si="3"/>
        <v>148.86000000000007</v>
      </c>
      <c r="AP17" s="5">
        <f t="shared" si="3"/>
        <v>148.86000000000007</v>
      </c>
      <c r="AQ17" s="5"/>
      <c r="AR17" s="5"/>
      <c r="AS17" s="5"/>
    </row>
    <row r="18" spans="2:45" x14ac:dyDescent="0.25">
      <c r="B18" t="s">
        <v>23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5"/>
      <c r="AR18" s="5"/>
      <c r="AS18" s="5"/>
    </row>
    <row r="19" spans="2:45" x14ac:dyDescent="0.25">
      <c r="B19" s="1" t="s">
        <v>3</v>
      </c>
      <c r="C19" s="5">
        <f t="shared" ref="C19:AP19" si="4">C17-C18</f>
        <v>-234.47333333333324</v>
      </c>
      <c r="D19" s="5">
        <f t="shared" si="4"/>
        <v>-234.47333333333324</v>
      </c>
      <c r="E19" s="5">
        <f t="shared" si="4"/>
        <v>-234.47333333333324</v>
      </c>
      <c r="F19" s="5">
        <f t="shared" si="4"/>
        <v>-234.47333333333324</v>
      </c>
      <c r="G19" s="5">
        <f t="shared" si="4"/>
        <v>-234.47333333333324</v>
      </c>
      <c r="H19" s="5">
        <f t="shared" si="4"/>
        <v>-234.47333333333324</v>
      </c>
      <c r="I19" s="5">
        <f t="shared" si="4"/>
        <v>-234.47333333333324</v>
      </c>
      <c r="J19" s="5">
        <f t="shared" si="4"/>
        <v>-234.47333333333324</v>
      </c>
      <c r="K19" s="5">
        <f t="shared" si="4"/>
        <v>-234.47333333333324</v>
      </c>
      <c r="L19" s="5">
        <f t="shared" si="4"/>
        <v>-234.47333333333324</v>
      </c>
      <c r="M19" s="5">
        <f t="shared" si="4"/>
        <v>-234.47333333333324</v>
      </c>
      <c r="N19" s="5">
        <f t="shared" si="4"/>
        <v>-234.47333333333324</v>
      </c>
      <c r="O19" s="5">
        <f t="shared" si="4"/>
        <v>-234.47333333333324</v>
      </c>
      <c r="P19" s="5">
        <f t="shared" si="4"/>
        <v>-234.47333333333324</v>
      </c>
      <c r="Q19" s="5">
        <f t="shared" si="4"/>
        <v>-234.47333333333324</v>
      </c>
      <c r="R19" s="5">
        <f t="shared" si="4"/>
        <v>148.86000000000007</v>
      </c>
      <c r="S19" s="5">
        <f t="shared" si="4"/>
        <v>148.86000000000007</v>
      </c>
      <c r="T19" s="5">
        <f t="shared" si="4"/>
        <v>148.86000000000007</v>
      </c>
      <c r="U19" s="5">
        <f t="shared" si="4"/>
        <v>148.86000000000007</v>
      </c>
      <c r="V19" s="5">
        <f t="shared" si="4"/>
        <v>148.86000000000007</v>
      </c>
      <c r="W19" s="5">
        <f t="shared" si="4"/>
        <v>148.86000000000007</v>
      </c>
      <c r="X19" s="5">
        <f t="shared" si="4"/>
        <v>148.86000000000007</v>
      </c>
      <c r="Y19" s="5">
        <f t="shared" si="4"/>
        <v>148.86000000000007</v>
      </c>
      <c r="Z19" s="5">
        <f t="shared" si="4"/>
        <v>148.86000000000007</v>
      </c>
      <c r="AA19" s="5">
        <f t="shared" si="4"/>
        <v>148.86000000000007</v>
      </c>
      <c r="AB19" s="5">
        <f t="shared" si="4"/>
        <v>148.86000000000007</v>
      </c>
      <c r="AC19" s="5">
        <f t="shared" si="4"/>
        <v>148.86000000000007</v>
      </c>
      <c r="AD19" s="5">
        <f t="shared" si="4"/>
        <v>148.86000000000007</v>
      </c>
      <c r="AE19" s="5">
        <f t="shared" si="4"/>
        <v>148.86000000000007</v>
      </c>
      <c r="AF19" s="5">
        <f t="shared" si="4"/>
        <v>148.86000000000007</v>
      </c>
      <c r="AG19" s="5">
        <f t="shared" si="4"/>
        <v>148.86000000000007</v>
      </c>
      <c r="AH19" s="5">
        <f t="shared" si="4"/>
        <v>148.86000000000007</v>
      </c>
      <c r="AI19" s="5">
        <f t="shared" si="4"/>
        <v>148.86000000000007</v>
      </c>
      <c r="AJ19" s="5">
        <f t="shared" si="4"/>
        <v>148.86000000000007</v>
      </c>
      <c r="AK19" s="5">
        <f t="shared" si="4"/>
        <v>148.86000000000007</v>
      </c>
      <c r="AL19" s="5">
        <f t="shared" si="4"/>
        <v>148.86000000000007</v>
      </c>
      <c r="AM19" s="5">
        <f t="shared" si="4"/>
        <v>148.86000000000007</v>
      </c>
      <c r="AN19" s="5">
        <f t="shared" si="4"/>
        <v>148.86000000000007</v>
      </c>
      <c r="AO19" s="5">
        <f t="shared" si="4"/>
        <v>148.86000000000007</v>
      </c>
      <c r="AP19" s="5">
        <f t="shared" si="4"/>
        <v>148.86000000000007</v>
      </c>
      <c r="AQ19" s="5"/>
      <c r="AR19" s="5"/>
      <c r="AS19" s="5"/>
    </row>
    <row r="20" spans="2:45" x14ac:dyDescent="0.25">
      <c r="B20" t="s">
        <v>20</v>
      </c>
      <c r="C20" s="6">
        <f t="shared" ref="C20:AP20" si="5">0.25*C19</f>
        <v>-58.618333333333311</v>
      </c>
      <c r="D20" s="6">
        <f t="shared" si="5"/>
        <v>-58.618333333333311</v>
      </c>
      <c r="E20" s="6">
        <f t="shared" si="5"/>
        <v>-58.618333333333311</v>
      </c>
      <c r="F20" s="6">
        <f t="shared" si="5"/>
        <v>-58.618333333333311</v>
      </c>
      <c r="G20" s="6">
        <f t="shared" si="5"/>
        <v>-58.618333333333311</v>
      </c>
      <c r="H20" s="6">
        <f t="shared" si="5"/>
        <v>-58.618333333333311</v>
      </c>
      <c r="I20" s="6">
        <f t="shared" si="5"/>
        <v>-58.618333333333311</v>
      </c>
      <c r="J20" s="6">
        <f t="shared" si="5"/>
        <v>-58.618333333333311</v>
      </c>
      <c r="K20" s="6">
        <f t="shared" si="5"/>
        <v>-58.618333333333311</v>
      </c>
      <c r="L20" s="6">
        <f t="shared" si="5"/>
        <v>-58.618333333333311</v>
      </c>
      <c r="M20" s="6">
        <f t="shared" si="5"/>
        <v>-58.618333333333311</v>
      </c>
      <c r="N20" s="6">
        <f t="shared" si="5"/>
        <v>-58.618333333333311</v>
      </c>
      <c r="O20" s="6">
        <f t="shared" si="5"/>
        <v>-58.618333333333311</v>
      </c>
      <c r="P20" s="6">
        <f t="shared" si="5"/>
        <v>-58.618333333333311</v>
      </c>
      <c r="Q20" s="6">
        <f t="shared" si="5"/>
        <v>-58.618333333333311</v>
      </c>
      <c r="R20" s="6">
        <f t="shared" si="5"/>
        <v>37.215000000000018</v>
      </c>
      <c r="S20" s="6">
        <f t="shared" si="5"/>
        <v>37.215000000000018</v>
      </c>
      <c r="T20" s="6">
        <f t="shared" si="5"/>
        <v>37.215000000000018</v>
      </c>
      <c r="U20" s="6">
        <f t="shared" si="5"/>
        <v>37.215000000000018</v>
      </c>
      <c r="V20" s="6">
        <f t="shared" si="5"/>
        <v>37.215000000000018</v>
      </c>
      <c r="W20" s="6">
        <f t="shared" si="5"/>
        <v>37.215000000000018</v>
      </c>
      <c r="X20" s="6">
        <f t="shared" si="5"/>
        <v>37.215000000000018</v>
      </c>
      <c r="Y20" s="6">
        <f t="shared" si="5"/>
        <v>37.215000000000018</v>
      </c>
      <c r="Z20" s="6">
        <f t="shared" si="5"/>
        <v>37.215000000000018</v>
      </c>
      <c r="AA20" s="6">
        <f t="shared" si="5"/>
        <v>37.215000000000018</v>
      </c>
      <c r="AB20" s="6">
        <f t="shared" si="5"/>
        <v>37.215000000000018</v>
      </c>
      <c r="AC20" s="6">
        <f t="shared" si="5"/>
        <v>37.215000000000018</v>
      </c>
      <c r="AD20" s="6">
        <f t="shared" si="5"/>
        <v>37.215000000000018</v>
      </c>
      <c r="AE20" s="6">
        <f t="shared" si="5"/>
        <v>37.215000000000018</v>
      </c>
      <c r="AF20" s="6">
        <f t="shared" si="5"/>
        <v>37.215000000000018</v>
      </c>
      <c r="AG20" s="6">
        <f t="shared" si="5"/>
        <v>37.215000000000018</v>
      </c>
      <c r="AH20" s="6">
        <f t="shared" si="5"/>
        <v>37.215000000000018</v>
      </c>
      <c r="AI20" s="6">
        <f t="shared" si="5"/>
        <v>37.215000000000018</v>
      </c>
      <c r="AJ20" s="6">
        <f t="shared" si="5"/>
        <v>37.215000000000018</v>
      </c>
      <c r="AK20" s="6">
        <f t="shared" si="5"/>
        <v>37.215000000000018</v>
      </c>
      <c r="AL20" s="6">
        <f t="shared" si="5"/>
        <v>37.215000000000018</v>
      </c>
      <c r="AM20" s="6">
        <f t="shared" si="5"/>
        <v>37.215000000000018</v>
      </c>
      <c r="AN20" s="6">
        <f t="shared" si="5"/>
        <v>37.215000000000018</v>
      </c>
      <c r="AO20" s="6">
        <f t="shared" si="5"/>
        <v>37.215000000000018</v>
      </c>
      <c r="AP20" s="6">
        <f t="shared" si="5"/>
        <v>37.215000000000018</v>
      </c>
      <c r="AQ20" s="6"/>
      <c r="AR20" s="5"/>
      <c r="AS20" s="5"/>
    </row>
    <row r="21" spans="2:45" x14ac:dyDescent="0.25">
      <c r="B21" s="1" t="s">
        <v>4</v>
      </c>
      <c r="C21" s="5">
        <f t="shared" ref="C21:AP21" si="6">C19-C20</f>
        <v>-175.85499999999993</v>
      </c>
      <c r="D21" s="5">
        <f t="shared" si="6"/>
        <v>-175.85499999999993</v>
      </c>
      <c r="E21" s="5">
        <f t="shared" si="6"/>
        <v>-175.85499999999993</v>
      </c>
      <c r="F21" s="5">
        <f t="shared" si="6"/>
        <v>-175.85499999999993</v>
      </c>
      <c r="G21" s="5">
        <f t="shared" si="6"/>
        <v>-175.85499999999993</v>
      </c>
      <c r="H21" s="5">
        <f t="shared" si="6"/>
        <v>-175.85499999999993</v>
      </c>
      <c r="I21" s="5">
        <f t="shared" si="6"/>
        <v>-175.85499999999993</v>
      </c>
      <c r="J21" s="5">
        <f t="shared" si="6"/>
        <v>-175.85499999999993</v>
      </c>
      <c r="K21" s="5">
        <f t="shared" si="6"/>
        <v>-175.85499999999993</v>
      </c>
      <c r="L21" s="5">
        <f t="shared" si="6"/>
        <v>-175.85499999999993</v>
      </c>
      <c r="M21" s="5">
        <f t="shared" si="6"/>
        <v>-175.85499999999993</v>
      </c>
      <c r="N21" s="5">
        <f t="shared" si="6"/>
        <v>-175.85499999999993</v>
      </c>
      <c r="O21" s="5">
        <f t="shared" si="6"/>
        <v>-175.85499999999993</v>
      </c>
      <c r="P21" s="5">
        <f t="shared" si="6"/>
        <v>-175.85499999999993</v>
      </c>
      <c r="Q21" s="5">
        <f t="shared" si="6"/>
        <v>-175.85499999999993</v>
      </c>
      <c r="R21" s="5">
        <f t="shared" si="6"/>
        <v>111.64500000000005</v>
      </c>
      <c r="S21" s="5">
        <f t="shared" si="6"/>
        <v>111.64500000000005</v>
      </c>
      <c r="T21" s="5">
        <f t="shared" si="6"/>
        <v>111.64500000000005</v>
      </c>
      <c r="U21" s="5">
        <f t="shared" si="6"/>
        <v>111.64500000000005</v>
      </c>
      <c r="V21" s="5">
        <f t="shared" si="6"/>
        <v>111.64500000000005</v>
      </c>
      <c r="W21" s="5">
        <f t="shared" si="6"/>
        <v>111.64500000000005</v>
      </c>
      <c r="X21" s="5">
        <f t="shared" si="6"/>
        <v>111.64500000000005</v>
      </c>
      <c r="Y21" s="5">
        <f t="shared" si="6"/>
        <v>111.64500000000005</v>
      </c>
      <c r="Z21" s="5">
        <f t="shared" si="6"/>
        <v>111.64500000000005</v>
      </c>
      <c r="AA21" s="5">
        <f t="shared" si="6"/>
        <v>111.64500000000005</v>
      </c>
      <c r="AB21" s="5">
        <f t="shared" si="6"/>
        <v>111.64500000000005</v>
      </c>
      <c r="AC21" s="5">
        <f t="shared" si="6"/>
        <v>111.64500000000005</v>
      </c>
      <c r="AD21" s="5">
        <f t="shared" si="6"/>
        <v>111.64500000000005</v>
      </c>
      <c r="AE21" s="5">
        <f t="shared" si="6"/>
        <v>111.64500000000005</v>
      </c>
      <c r="AF21" s="5">
        <f t="shared" si="6"/>
        <v>111.64500000000005</v>
      </c>
      <c r="AG21" s="5">
        <f t="shared" si="6"/>
        <v>111.64500000000005</v>
      </c>
      <c r="AH21" s="5">
        <f t="shared" si="6"/>
        <v>111.64500000000005</v>
      </c>
      <c r="AI21" s="5">
        <f t="shared" si="6"/>
        <v>111.64500000000005</v>
      </c>
      <c r="AJ21" s="5">
        <f t="shared" si="6"/>
        <v>111.64500000000005</v>
      </c>
      <c r="AK21" s="5">
        <f t="shared" si="6"/>
        <v>111.64500000000005</v>
      </c>
      <c r="AL21" s="5">
        <f t="shared" si="6"/>
        <v>111.64500000000005</v>
      </c>
      <c r="AM21" s="5">
        <f t="shared" si="6"/>
        <v>111.64500000000005</v>
      </c>
      <c r="AN21" s="5">
        <f t="shared" si="6"/>
        <v>111.64500000000005</v>
      </c>
      <c r="AO21" s="5">
        <f t="shared" si="6"/>
        <v>111.64500000000005</v>
      </c>
      <c r="AP21" s="5">
        <f t="shared" si="6"/>
        <v>111.64500000000005</v>
      </c>
      <c r="AQ21" s="5"/>
      <c r="AR21" s="5"/>
      <c r="AS21" s="5"/>
    </row>
    <row r="22" spans="2:45" x14ac:dyDescent="0.25">
      <c r="B22" s="2" t="s">
        <v>24</v>
      </c>
      <c r="C22" s="6">
        <f>C16</f>
        <v>383.33333333333331</v>
      </c>
      <c r="D22" s="6">
        <f>D16</f>
        <v>383.33333333333331</v>
      </c>
      <c r="E22" s="6">
        <f>E16</f>
        <v>383.33333333333331</v>
      </c>
      <c r="F22" s="6">
        <f>F16</f>
        <v>383.33333333333331</v>
      </c>
      <c r="G22" s="6">
        <f>G16</f>
        <v>383.33333333333331</v>
      </c>
      <c r="H22" s="6">
        <f t="shared" ref="H22:AP22" si="7">H16</f>
        <v>383.33333333333331</v>
      </c>
      <c r="I22" s="6">
        <f t="shared" si="7"/>
        <v>383.33333333333331</v>
      </c>
      <c r="J22" s="6">
        <f t="shared" si="7"/>
        <v>383.33333333333331</v>
      </c>
      <c r="K22" s="6">
        <f t="shared" si="7"/>
        <v>383.33333333333331</v>
      </c>
      <c r="L22" s="6">
        <f t="shared" si="7"/>
        <v>383.33333333333331</v>
      </c>
      <c r="M22" s="6">
        <f t="shared" si="7"/>
        <v>383.33333333333331</v>
      </c>
      <c r="N22" s="6">
        <f t="shared" si="7"/>
        <v>383.33333333333331</v>
      </c>
      <c r="O22" s="6">
        <f t="shared" si="7"/>
        <v>383.33333333333331</v>
      </c>
      <c r="P22" s="6">
        <f t="shared" si="7"/>
        <v>383.33333333333331</v>
      </c>
      <c r="Q22" s="6">
        <f t="shared" si="7"/>
        <v>383.33333333333331</v>
      </c>
      <c r="R22" s="6">
        <f t="shared" si="7"/>
        <v>0</v>
      </c>
      <c r="S22" s="6">
        <f t="shared" si="7"/>
        <v>0</v>
      </c>
      <c r="T22" s="6">
        <f t="shared" si="7"/>
        <v>0</v>
      </c>
      <c r="U22" s="6">
        <f t="shared" si="7"/>
        <v>0</v>
      </c>
      <c r="V22" s="6">
        <f t="shared" si="7"/>
        <v>0</v>
      </c>
      <c r="W22" s="6">
        <f t="shared" si="7"/>
        <v>0</v>
      </c>
      <c r="X22" s="6">
        <f t="shared" si="7"/>
        <v>0</v>
      </c>
      <c r="Y22" s="6">
        <f t="shared" si="7"/>
        <v>0</v>
      </c>
      <c r="Z22" s="6">
        <f t="shared" si="7"/>
        <v>0</v>
      </c>
      <c r="AA22" s="6">
        <f t="shared" si="7"/>
        <v>0</v>
      </c>
      <c r="AB22" s="6">
        <f t="shared" si="7"/>
        <v>0</v>
      </c>
      <c r="AC22" s="6">
        <f t="shared" si="7"/>
        <v>0</v>
      </c>
      <c r="AD22" s="6">
        <f t="shared" si="7"/>
        <v>0</v>
      </c>
      <c r="AE22" s="6">
        <f t="shared" si="7"/>
        <v>0</v>
      </c>
      <c r="AF22" s="6">
        <f t="shared" si="7"/>
        <v>0</v>
      </c>
      <c r="AG22" s="6">
        <f t="shared" si="7"/>
        <v>0</v>
      </c>
      <c r="AH22" s="6">
        <f t="shared" si="7"/>
        <v>0</v>
      </c>
      <c r="AI22" s="6">
        <f t="shared" si="7"/>
        <v>0</v>
      </c>
      <c r="AJ22" s="6">
        <f t="shared" si="7"/>
        <v>0</v>
      </c>
      <c r="AK22" s="6">
        <f t="shared" si="7"/>
        <v>0</v>
      </c>
      <c r="AL22" s="6">
        <f t="shared" si="7"/>
        <v>0</v>
      </c>
      <c r="AM22" s="6">
        <f t="shared" si="7"/>
        <v>0</v>
      </c>
      <c r="AN22" s="6">
        <f t="shared" si="7"/>
        <v>0</v>
      </c>
      <c r="AO22" s="6">
        <f t="shared" si="7"/>
        <v>0</v>
      </c>
      <c r="AP22" s="6">
        <f t="shared" si="7"/>
        <v>0</v>
      </c>
      <c r="AQ22" s="6"/>
      <c r="AR22" s="5"/>
      <c r="AS22" s="5"/>
    </row>
    <row r="23" spans="2:45" x14ac:dyDescent="0.25">
      <c r="B23" s="2" t="s">
        <v>45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/>
      <c r="S23" s="6"/>
      <c r="T23" s="6"/>
      <c r="U23" s="6"/>
      <c r="V23" s="6"/>
      <c r="W23" s="6"/>
      <c r="X23" s="6"/>
      <c r="Y23" s="6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2:45" ht="30" x14ac:dyDescent="0.25">
      <c r="B24" s="56" t="s">
        <v>114</v>
      </c>
      <c r="C24" s="6">
        <v>2600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2:45" x14ac:dyDescent="0.25">
      <c r="B25" s="2" t="s">
        <v>33</v>
      </c>
      <c r="C25" s="6">
        <f>C30*0.5</f>
        <v>2875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2:45" x14ac:dyDescent="0.25">
      <c r="B26" s="1" t="s">
        <v>5</v>
      </c>
      <c r="C26" s="5">
        <f t="shared" ref="C26:H26" si="8">C21+SUM(C22:C25)</f>
        <v>5682.4783333333344</v>
      </c>
      <c r="D26" s="5">
        <f t="shared" si="8"/>
        <v>207.47833333333338</v>
      </c>
      <c r="E26" s="5">
        <f t="shared" si="8"/>
        <v>207.47833333333338</v>
      </c>
      <c r="F26" s="5">
        <f t="shared" si="8"/>
        <v>207.47833333333338</v>
      </c>
      <c r="G26" s="5">
        <f t="shared" si="8"/>
        <v>207.47833333333338</v>
      </c>
      <c r="H26" s="5">
        <f t="shared" si="8"/>
        <v>207.47833333333338</v>
      </c>
      <c r="I26" s="5">
        <f t="shared" ref="I26:AP26" si="9">I21+SUM(I22:I25)</f>
        <v>207.47833333333338</v>
      </c>
      <c r="J26" s="5">
        <f t="shared" si="9"/>
        <v>207.47833333333338</v>
      </c>
      <c r="K26" s="5">
        <f t="shared" si="9"/>
        <v>207.47833333333338</v>
      </c>
      <c r="L26" s="5">
        <f t="shared" si="9"/>
        <v>207.47833333333338</v>
      </c>
      <c r="M26" s="5">
        <f t="shared" si="9"/>
        <v>207.47833333333338</v>
      </c>
      <c r="N26" s="5">
        <f t="shared" si="9"/>
        <v>207.47833333333338</v>
      </c>
      <c r="O26" s="5">
        <f t="shared" si="9"/>
        <v>207.47833333333338</v>
      </c>
      <c r="P26" s="5">
        <f t="shared" si="9"/>
        <v>207.47833333333338</v>
      </c>
      <c r="Q26" s="5">
        <f t="shared" si="9"/>
        <v>207.47833333333338</v>
      </c>
      <c r="R26" s="5">
        <f t="shared" si="9"/>
        <v>111.64500000000005</v>
      </c>
      <c r="S26" s="5">
        <f t="shared" si="9"/>
        <v>111.64500000000005</v>
      </c>
      <c r="T26" s="5">
        <f t="shared" si="9"/>
        <v>111.64500000000005</v>
      </c>
      <c r="U26" s="5">
        <f t="shared" si="9"/>
        <v>111.64500000000005</v>
      </c>
      <c r="V26" s="5">
        <f t="shared" si="9"/>
        <v>111.64500000000005</v>
      </c>
      <c r="W26" s="5">
        <f t="shared" si="9"/>
        <v>111.64500000000005</v>
      </c>
      <c r="X26" s="5">
        <f t="shared" si="9"/>
        <v>111.64500000000005</v>
      </c>
      <c r="Y26" s="5">
        <f t="shared" si="9"/>
        <v>111.64500000000005</v>
      </c>
      <c r="Z26" s="5">
        <f t="shared" si="9"/>
        <v>111.64500000000005</v>
      </c>
      <c r="AA26" s="5">
        <f t="shared" si="9"/>
        <v>111.64500000000005</v>
      </c>
      <c r="AB26" s="5">
        <f t="shared" si="9"/>
        <v>111.64500000000005</v>
      </c>
      <c r="AC26" s="5">
        <f t="shared" si="9"/>
        <v>111.64500000000005</v>
      </c>
      <c r="AD26" s="5">
        <f t="shared" si="9"/>
        <v>111.64500000000005</v>
      </c>
      <c r="AE26" s="5">
        <f t="shared" si="9"/>
        <v>111.64500000000005</v>
      </c>
      <c r="AF26" s="5">
        <f t="shared" si="9"/>
        <v>111.64500000000005</v>
      </c>
      <c r="AG26" s="5">
        <f t="shared" si="9"/>
        <v>111.64500000000005</v>
      </c>
      <c r="AH26" s="5">
        <f t="shared" si="9"/>
        <v>111.64500000000005</v>
      </c>
      <c r="AI26" s="5">
        <f t="shared" si="9"/>
        <v>111.64500000000005</v>
      </c>
      <c r="AJ26" s="5">
        <f t="shared" si="9"/>
        <v>111.64500000000005</v>
      </c>
      <c r="AK26" s="5">
        <f t="shared" si="9"/>
        <v>111.64500000000005</v>
      </c>
      <c r="AL26" s="5">
        <f t="shared" si="9"/>
        <v>111.64500000000005</v>
      </c>
      <c r="AM26" s="5">
        <f t="shared" si="9"/>
        <v>111.64500000000005</v>
      </c>
      <c r="AN26" s="5">
        <f t="shared" si="9"/>
        <v>111.64500000000005</v>
      </c>
      <c r="AO26" s="5">
        <f t="shared" si="9"/>
        <v>111.64500000000005</v>
      </c>
      <c r="AP26" s="5">
        <f t="shared" si="9"/>
        <v>111.64500000000005</v>
      </c>
      <c r="AQ26" s="5"/>
      <c r="AR26" s="5"/>
      <c r="AS26" s="5"/>
    </row>
    <row r="27" spans="2:45" x14ac:dyDescent="0.25"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2:45" s="113" customFormat="1" x14ac:dyDescent="0.25">
      <c r="B28" s="114" t="s">
        <v>27</v>
      </c>
      <c r="C28" s="114"/>
      <c r="D28" s="114" t="s">
        <v>44</v>
      </c>
      <c r="E28" s="90" t="s">
        <v>0</v>
      </c>
      <c r="F28" s="90" t="s">
        <v>226</v>
      </c>
      <c r="G28" s="90" t="s">
        <v>227</v>
      </c>
      <c r="H28" s="90" t="s">
        <v>228</v>
      </c>
      <c r="I28" s="90" t="s">
        <v>229</v>
      </c>
      <c r="J28" s="90" t="s">
        <v>230</v>
      </c>
      <c r="K28" s="90" t="s">
        <v>231</v>
      </c>
      <c r="L28" s="90" t="s">
        <v>232</v>
      </c>
      <c r="M28" s="90" t="s">
        <v>233</v>
      </c>
      <c r="N28" s="90" t="s">
        <v>234</v>
      </c>
      <c r="O28" s="90" t="s">
        <v>235</v>
      </c>
      <c r="P28" s="90" t="s">
        <v>236</v>
      </c>
      <c r="Q28" s="90" t="s">
        <v>237</v>
      </c>
      <c r="R28" s="90" t="s">
        <v>238</v>
      </c>
      <c r="S28" s="90" t="s">
        <v>239</v>
      </c>
      <c r="T28" s="90" t="s">
        <v>240</v>
      </c>
      <c r="U28" s="90" t="s">
        <v>241</v>
      </c>
      <c r="V28" s="90" t="s">
        <v>242</v>
      </c>
      <c r="W28" s="90" t="s">
        <v>243</v>
      </c>
      <c r="X28" s="90" t="s">
        <v>244</v>
      </c>
      <c r="Y28" s="90" t="s">
        <v>245</v>
      </c>
      <c r="Z28" s="90" t="s">
        <v>246</v>
      </c>
      <c r="AA28" s="90" t="s">
        <v>247</v>
      </c>
      <c r="AB28" s="90" t="s">
        <v>248</v>
      </c>
      <c r="AC28" s="90" t="s">
        <v>249</v>
      </c>
      <c r="AD28" s="90" t="s">
        <v>250</v>
      </c>
      <c r="AE28" s="90" t="s">
        <v>251</v>
      </c>
      <c r="AF28" s="90" t="s">
        <v>252</v>
      </c>
      <c r="AG28" s="90" t="s">
        <v>253</v>
      </c>
      <c r="AH28" s="90" t="s">
        <v>254</v>
      </c>
      <c r="AI28" s="90" t="s">
        <v>255</v>
      </c>
      <c r="AJ28" s="90" t="s">
        <v>256</v>
      </c>
      <c r="AK28" s="90" t="s">
        <v>257</v>
      </c>
      <c r="AL28" s="90" t="s">
        <v>258</v>
      </c>
      <c r="AM28" s="90" t="s">
        <v>259</v>
      </c>
      <c r="AN28" s="90" t="s">
        <v>260</v>
      </c>
      <c r="AO28" s="90" t="s">
        <v>261</v>
      </c>
      <c r="AP28" s="90" t="s">
        <v>262</v>
      </c>
      <c r="AQ28" s="90" t="s">
        <v>263</v>
      </c>
      <c r="AR28" s="90" t="s">
        <v>264</v>
      </c>
      <c r="AS28" s="90" t="s">
        <v>265</v>
      </c>
    </row>
    <row r="29" spans="2:45" x14ac:dyDescent="0.25">
      <c r="B29" s="7" t="s">
        <v>7</v>
      </c>
      <c r="C29" s="8">
        <f>SUM(C26:AP26)</f>
        <v>11378.300000000012</v>
      </c>
      <c r="D29" s="6" t="s">
        <v>29</v>
      </c>
      <c r="E29" s="10">
        <f>C26-C30</f>
        <v>-67.521666666665624</v>
      </c>
      <c r="F29" s="10">
        <f>E29+D26</f>
        <v>139.95666666666776</v>
      </c>
      <c r="G29" s="10">
        <f t="shared" ref="G29:S29" si="10">F29+E26</f>
        <v>347.43500000000114</v>
      </c>
      <c r="H29" s="10">
        <f t="shared" si="10"/>
        <v>554.91333333333455</v>
      </c>
      <c r="I29" s="10">
        <f t="shared" si="10"/>
        <v>762.3916666666679</v>
      </c>
      <c r="J29" s="10">
        <f t="shared" si="10"/>
        <v>969.87000000000126</v>
      </c>
      <c r="K29" s="10">
        <f t="shared" si="10"/>
        <v>1177.3483333333347</v>
      </c>
      <c r="L29" s="10">
        <f t="shared" si="10"/>
        <v>1384.8266666666682</v>
      </c>
      <c r="M29" s="10">
        <f t="shared" si="10"/>
        <v>1592.3050000000017</v>
      </c>
      <c r="N29" s="10">
        <f t="shared" si="10"/>
        <v>1799.7833333333351</v>
      </c>
      <c r="O29" s="10">
        <f t="shared" si="10"/>
        <v>2007.2616666666686</v>
      </c>
      <c r="P29" s="10">
        <f t="shared" si="10"/>
        <v>2214.7400000000021</v>
      </c>
      <c r="Q29" s="10">
        <f t="shared" si="10"/>
        <v>2422.2183333333355</v>
      </c>
      <c r="R29" s="10">
        <f t="shared" si="10"/>
        <v>2629.696666666669</v>
      </c>
      <c r="S29" s="10">
        <f t="shared" si="10"/>
        <v>2837.1750000000025</v>
      </c>
      <c r="T29" s="10">
        <f t="shared" ref="T29" si="11">S29+R26</f>
        <v>2948.8200000000024</v>
      </c>
      <c r="U29" s="10">
        <f t="shared" ref="U29" si="12">T29+S26</f>
        <v>3060.4650000000024</v>
      </c>
      <c r="V29" s="10">
        <f t="shared" ref="V29" si="13">U29+T26</f>
        <v>3172.1100000000024</v>
      </c>
      <c r="W29" s="10">
        <f t="shared" ref="W29" si="14">V29+U26</f>
        <v>3283.7550000000024</v>
      </c>
      <c r="X29" s="10">
        <f t="shared" ref="X29" si="15">W29+V26</f>
        <v>3395.4000000000024</v>
      </c>
      <c r="Y29" s="10">
        <f t="shared" ref="Y29" si="16">X29+W26</f>
        <v>3507.0450000000023</v>
      </c>
      <c r="Z29" s="10">
        <f t="shared" ref="Z29" si="17">Y29+X26</f>
        <v>3618.6900000000023</v>
      </c>
      <c r="AA29" s="10">
        <f t="shared" ref="AA29" si="18">Z29+Y26</f>
        <v>3730.3350000000023</v>
      </c>
      <c r="AB29" s="10">
        <f t="shared" ref="AB29" si="19">AA29+Z26</f>
        <v>3841.9800000000023</v>
      </c>
      <c r="AC29" s="10">
        <f t="shared" ref="AC29" si="20">AB29+AA26</f>
        <v>3953.6250000000023</v>
      </c>
      <c r="AD29" s="10">
        <f t="shared" ref="AD29" si="21">AC29+AB26</f>
        <v>4065.2700000000023</v>
      </c>
      <c r="AE29" s="10">
        <f t="shared" ref="AE29" si="22">AD29+AC26</f>
        <v>4176.9150000000027</v>
      </c>
      <c r="AF29" s="10">
        <f t="shared" ref="AF29" si="23">AE29+AD26</f>
        <v>4288.5600000000031</v>
      </c>
      <c r="AG29" s="10">
        <f t="shared" ref="AG29" si="24">AF29+AE26</f>
        <v>4400.2050000000036</v>
      </c>
      <c r="AH29" s="10">
        <f t="shared" ref="AH29" si="25">AG29+AF26</f>
        <v>4511.850000000004</v>
      </c>
      <c r="AI29" s="10">
        <f t="shared" ref="AI29" si="26">AH29+AG26</f>
        <v>4623.4950000000044</v>
      </c>
      <c r="AJ29" s="10">
        <f t="shared" ref="AJ29" si="27">AI29+AH26</f>
        <v>4735.1400000000049</v>
      </c>
      <c r="AK29" s="10">
        <f t="shared" ref="AK29" si="28">AJ29+AI26</f>
        <v>4846.7850000000053</v>
      </c>
      <c r="AL29" s="10">
        <f t="shared" ref="AL29" si="29">AK29+AJ26</f>
        <v>4958.4300000000057</v>
      </c>
      <c r="AM29" s="10">
        <f t="shared" ref="AM29" si="30">AL29+AK26</f>
        <v>5070.0750000000062</v>
      </c>
      <c r="AN29" s="10">
        <f t="shared" ref="AN29" si="31">AM29+AL26</f>
        <v>5181.7200000000066</v>
      </c>
      <c r="AO29" s="10">
        <f t="shared" ref="AO29" si="32">AN29+AM26</f>
        <v>5293.3650000000071</v>
      </c>
      <c r="AP29" s="10">
        <f t="shared" ref="AP29" si="33">AO29+AN26</f>
        <v>5405.0100000000075</v>
      </c>
      <c r="AQ29" s="10">
        <f t="shared" ref="AQ29" si="34">AP29+AO26</f>
        <v>5516.6550000000079</v>
      </c>
      <c r="AR29" s="10">
        <f t="shared" ref="AR29" si="35">AQ29+AP26</f>
        <v>5628.3000000000084</v>
      </c>
      <c r="AS29" s="10"/>
    </row>
    <row r="30" spans="2:45" x14ac:dyDescent="0.25">
      <c r="B30" s="7" t="s">
        <v>67</v>
      </c>
      <c r="C30" s="8">
        <v>5750</v>
      </c>
      <c r="D30" s="5"/>
      <c r="G30" t="s">
        <v>276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45" x14ac:dyDescent="0.25">
      <c r="B31" s="7" t="s">
        <v>18</v>
      </c>
      <c r="C31" s="8"/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45" x14ac:dyDescent="0.25">
      <c r="B32" s="7" t="s">
        <v>8</v>
      </c>
      <c r="C32" s="8">
        <f>C29-C30</f>
        <v>5628.300000000012</v>
      </c>
      <c r="D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45" x14ac:dyDescent="0.25">
      <c r="B33" s="29" t="s">
        <v>10</v>
      </c>
      <c r="C33" s="15">
        <f>C32/C30*100%</f>
        <v>0.97883478260869772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45" x14ac:dyDescent="0.25">
      <c r="B34" s="19"/>
      <c r="C34" s="2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45" x14ac:dyDescent="0.25">
      <c r="B35" t="s">
        <v>31</v>
      </c>
      <c r="C35" s="4">
        <v>0.05</v>
      </c>
      <c r="D35" s="6"/>
      <c r="E35" s="6"/>
    </row>
    <row r="36" spans="2:45" x14ac:dyDescent="0.25">
      <c r="B36" s="1" t="s">
        <v>6</v>
      </c>
      <c r="C36" s="5">
        <f>C26/(1+$C35)</f>
        <v>5411.8841269841278</v>
      </c>
      <c r="D36" s="5">
        <f>D26/(1+$C35)^2</f>
        <v>188.18896447467881</v>
      </c>
      <c r="E36" s="5">
        <f>E26/(1+$C35)^3</f>
        <v>179.22758521397981</v>
      </c>
      <c r="F36" s="5">
        <f>F26/(1+$C35)^4</f>
        <v>170.69293829902838</v>
      </c>
      <c r="G36" s="5">
        <f>G26/(1+$C35)^5</f>
        <v>162.56470314193177</v>
      </c>
      <c r="H36" s="5">
        <f>H26/(1+$C35)^6</f>
        <v>154.82352680183982</v>
      </c>
      <c r="I36" s="5">
        <f>I26/(1+$C35)^7</f>
        <v>147.45097790651408</v>
      </c>
      <c r="J36" s="5">
        <f>J26/(1+$C35)^8</f>
        <v>140.42950276810868</v>
      </c>
      <c r="K36" s="5">
        <f>K26/(1+$C35)^9</f>
        <v>133.74238358867493</v>
      </c>
      <c r="L36" s="5">
        <f>L26/(1+$C35)^10</f>
        <v>127.37369865588087</v>
      </c>
      <c r="M36" s="5">
        <f>M26/(1+$C35)^11</f>
        <v>121.30828443417225</v>
      </c>
      <c r="N36" s="5">
        <f>N26/(1+$C35)^12</f>
        <v>115.53169946111645</v>
      </c>
      <c r="O36" s="5">
        <f>O26/(1+$C35)^13</f>
        <v>110.03018996296802</v>
      </c>
      <c r="P36" s="5">
        <f>P26/(1+$C35)^14</f>
        <v>104.79065710758861</v>
      </c>
      <c r="Q36" s="5">
        <f>Q26/(1+$C35)^15</f>
        <v>99.800625816751037</v>
      </c>
      <c r="R36" s="5">
        <f>R26/(1+$C35)^16</f>
        <v>51.145860872729905</v>
      </c>
      <c r="S36" s="5">
        <f>S26/(1+$C35)^17</f>
        <v>48.710343688314182</v>
      </c>
      <c r="T36" s="5">
        <f>T26/(1+$C35)^18</f>
        <v>46.390803512680179</v>
      </c>
      <c r="U36" s="5">
        <f>U26/(1+$C35)^19</f>
        <v>44.181717631123981</v>
      </c>
      <c r="V36" s="5">
        <f>V26/(1+$C35)^20</f>
        <v>42.07782631535617</v>
      </c>
      <c r="W36" s="5">
        <f>W26/(1+$C35)^21</f>
        <v>40.07412030033921</v>
      </c>
      <c r="X36" s="5">
        <f>X26/(1+$C35)^22</f>
        <v>38.165828857465918</v>
      </c>
      <c r="Y36" s="5">
        <f>Y26/(1+$C35)^23</f>
        <v>36.348408435681819</v>
      </c>
      <c r="Z36" s="5">
        <f>Z26/(1+$C35)^24</f>
        <v>34.617531843506498</v>
      </c>
      <c r="AA36" s="5">
        <f>AA26/(1+$C35)^25</f>
        <v>32.969077946196663</v>
      </c>
      <c r="AB36" s="5">
        <f>AB26/(1+$C35)^26</f>
        <v>31.399121853520633</v>
      </c>
      <c r="AC36" s="5">
        <f>AC26/(1+$C35)^27</f>
        <v>29.903925574781553</v>
      </c>
      <c r="AD36" s="5">
        <f>AD26/(1+$C35)^28</f>
        <v>28.479929118839578</v>
      </c>
      <c r="AE36" s="5">
        <f>AE26/(1+$C35)^29</f>
        <v>27.123742017942451</v>
      </c>
      <c r="AF36" s="5">
        <f>AF26/(1+$C35)^30</f>
        <v>25.832135255183296</v>
      </c>
      <c r="AG36" s="5">
        <f>AG26/(1+$C35)^31</f>
        <v>24.602033576365034</v>
      </c>
      <c r="AH36" s="5">
        <f>AH26/(1+$C35)^32</f>
        <v>23.4305081679667</v>
      </c>
      <c r="AI36" s="5">
        <f>AI26/(1+$C35)^33</f>
        <v>22.314769683777808</v>
      </c>
      <c r="AJ36" s="5">
        <f>AJ26/(1+$C35)^34</f>
        <v>21.252161603597912</v>
      </c>
      <c r="AK36" s="5">
        <f>AK26/(1+$C35)^35</f>
        <v>20.240153908188486</v>
      </c>
      <c r="AL36" s="5">
        <f>AL26/(1+$C35)^36</f>
        <v>19.27633705541761</v>
      </c>
      <c r="AM36" s="5">
        <f>AM26/(1+$C35)^37</f>
        <v>18.358416243254865</v>
      </c>
      <c r="AN36" s="5">
        <f>AN26/(1+$C35)^38</f>
        <v>17.484205945957015</v>
      </c>
      <c r="AO36" s="5">
        <f>AO26/(1+$C35)^39</f>
        <v>16.65162471043525</v>
      </c>
      <c r="AP36" s="5">
        <f>AP26/(1+$C35)^40</f>
        <v>15.858690200414525</v>
      </c>
      <c r="AQ36" s="5">
        <f>AQ26/(1+$C35)^41</f>
        <v>0</v>
      </c>
    </row>
    <row r="37" spans="2:45" x14ac:dyDescent="0.25">
      <c r="B37" s="1"/>
      <c r="C37" s="5"/>
      <c r="D37" s="5"/>
      <c r="E37" s="5"/>
      <c r="F37" s="5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45" s="113" customFormat="1" x14ac:dyDescent="0.25">
      <c r="B38" s="123" t="s">
        <v>28</v>
      </c>
      <c r="C38" s="126"/>
      <c r="D38" s="127" t="s">
        <v>44</v>
      </c>
      <c r="E38" s="91" t="s">
        <v>0</v>
      </c>
      <c r="F38" s="91" t="s">
        <v>226</v>
      </c>
      <c r="G38" s="91" t="s">
        <v>227</v>
      </c>
      <c r="H38" s="91" t="s">
        <v>228</v>
      </c>
      <c r="I38" s="91" t="s">
        <v>229</v>
      </c>
      <c r="J38" s="91" t="s">
        <v>230</v>
      </c>
      <c r="K38" s="91" t="s">
        <v>231</v>
      </c>
      <c r="L38" s="91" t="s">
        <v>232</v>
      </c>
      <c r="M38" s="91" t="s">
        <v>233</v>
      </c>
      <c r="N38" s="91" t="s">
        <v>234</v>
      </c>
      <c r="O38" s="91" t="s">
        <v>235</v>
      </c>
      <c r="P38" s="91" t="s">
        <v>236</v>
      </c>
      <c r="Q38" s="91" t="s">
        <v>237</v>
      </c>
      <c r="R38" s="91" t="s">
        <v>238</v>
      </c>
      <c r="S38" s="91" t="s">
        <v>239</v>
      </c>
      <c r="T38" s="91" t="s">
        <v>240</v>
      </c>
      <c r="U38" s="91" t="s">
        <v>241</v>
      </c>
      <c r="V38" s="91" t="s">
        <v>242</v>
      </c>
      <c r="W38" s="91" t="s">
        <v>243</v>
      </c>
      <c r="X38" s="91" t="s">
        <v>244</v>
      </c>
      <c r="Y38" s="91" t="s">
        <v>245</v>
      </c>
      <c r="Z38" s="91" t="s">
        <v>246</v>
      </c>
      <c r="AA38" s="91" t="s">
        <v>247</v>
      </c>
      <c r="AB38" s="91" t="s">
        <v>248</v>
      </c>
      <c r="AC38" s="91" t="s">
        <v>249</v>
      </c>
      <c r="AD38" s="91" t="s">
        <v>250</v>
      </c>
      <c r="AE38" s="91" t="s">
        <v>251</v>
      </c>
      <c r="AF38" s="91" t="s">
        <v>252</v>
      </c>
      <c r="AG38" s="91" t="s">
        <v>253</v>
      </c>
      <c r="AH38" s="91" t="s">
        <v>254</v>
      </c>
      <c r="AI38" s="91" t="s">
        <v>255</v>
      </c>
      <c r="AJ38" s="91" t="s">
        <v>256</v>
      </c>
      <c r="AK38" s="91" t="s">
        <v>257</v>
      </c>
      <c r="AL38" s="91" t="s">
        <v>258</v>
      </c>
      <c r="AM38" s="91" t="s">
        <v>259</v>
      </c>
      <c r="AN38" s="91" t="s">
        <v>260</v>
      </c>
      <c r="AO38" s="91" t="s">
        <v>261</v>
      </c>
      <c r="AP38" s="91" t="s">
        <v>262</v>
      </c>
      <c r="AQ38" s="91" t="s">
        <v>263</v>
      </c>
      <c r="AR38" s="91" t="s">
        <v>264</v>
      </c>
      <c r="AS38" s="91" t="s">
        <v>265</v>
      </c>
    </row>
    <row r="39" spans="2:45" x14ac:dyDescent="0.25">
      <c r="B39" s="7" t="s">
        <v>15</v>
      </c>
      <c r="C39" s="8">
        <f>SUM(C36:AP36)</f>
        <v>8124.7291389363972</v>
      </c>
      <c r="D39" s="6" t="s">
        <v>30</v>
      </c>
      <c r="E39" s="10">
        <f>C36-C40</f>
        <v>-338.11587301587224</v>
      </c>
      <c r="F39" s="10">
        <f>E39+D36</f>
        <v>-149.92690854119343</v>
      </c>
      <c r="G39" s="10">
        <f t="shared" ref="G39:S39" si="36">F39+E36</f>
        <v>29.300676672786381</v>
      </c>
      <c r="H39" s="10">
        <f t="shared" si="36"/>
        <v>199.99361497181476</v>
      </c>
      <c r="I39" s="10">
        <f t="shared" si="36"/>
        <v>362.55831811374651</v>
      </c>
      <c r="J39" s="10">
        <f t="shared" si="36"/>
        <v>517.38184491558627</v>
      </c>
      <c r="K39" s="10">
        <f t="shared" si="36"/>
        <v>664.8328228221003</v>
      </c>
      <c r="L39" s="10">
        <f t="shared" si="36"/>
        <v>805.262325590209</v>
      </c>
      <c r="M39" s="10">
        <f t="shared" si="36"/>
        <v>939.0047091788839</v>
      </c>
      <c r="N39" s="10">
        <f t="shared" si="36"/>
        <v>1066.3784078347649</v>
      </c>
      <c r="O39" s="10">
        <f t="shared" si="36"/>
        <v>1187.6866922689371</v>
      </c>
      <c r="P39" s="10">
        <f t="shared" si="36"/>
        <v>1303.2183917300536</v>
      </c>
      <c r="Q39" s="10">
        <f t="shared" si="36"/>
        <v>1413.2485816930216</v>
      </c>
      <c r="R39" s="10">
        <f t="shared" si="36"/>
        <v>1518.0392388006103</v>
      </c>
      <c r="S39" s="10">
        <f t="shared" si="36"/>
        <v>1617.8398646173614</v>
      </c>
      <c r="T39" s="10">
        <f t="shared" ref="T39" si="37">S39+R36</f>
        <v>1668.9857254900912</v>
      </c>
      <c r="U39" s="10">
        <f t="shared" ref="U39" si="38">T39+S36</f>
        <v>1717.6960691784054</v>
      </c>
      <c r="V39" s="10">
        <f t="shared" ref="V39" si="39">U39+T36</f>
        <v>1764.0868726910855</v>
      </c>
      <c r="W39" s="10">
        <f t="shared" ref="W39" si="40">V39+U36</f>
        <v>1808.2685903222095</v>
      </c>
      <c r="X39" s="10">
        <f t="shared" ref="X39" si="41">W39+V36</f>
        <v>1850.3464166375657</v>
      </c>
      <c r="Y39" s="10">
        <f t="shared" ref="Y39" si="42">X39+W36</f>
        <v>1890.4205369379049</v>
      </c>
      <c r="Z39" s="10">
        <f t="shared" ref="Z39" si="43">Y39+X36</f>
        <v>1928.5863657953707</v>
      </c>
      <c r="AA39" s="10">
        <f t="shared" ref="AA39" si="44">Z39+Y36</f>
        <v>1964.9347742310526</v>
      </c>
      <c r="AB39" s="10">
        <f t="shared" ref="AB39" si="45">AA39+Z36</f>
        <v>1999.5523060745591</v>
      </c>
      <c r="AC39" s="10">
        <f t="shared" ref="AC39" si="46">AB39+AA36</f>
        <v>2032.5213840207557</v>
      </c>
      <c r="AD39" s="10">
        <f t="shared" ref="AD39" si="47">AC39+AB36</f>
        <v>2063.9205058742764</v>
      </c>
      <c r="AE39" s="10">
        <f t="shared" ref="AE39" si="48">AD39+AC36</f>
        <v>2093.824431449058</v>
      </c>
      <c r="AF39" s="10">
        <f t="shared" ref="AF39" si="49">AE39+AD36</f>
        <v>2122.3043605678977</v>
      </c>
      <c r="AG39" s="10">
        <f t="shared" ref="AG39" si="50">AF39+AE36</f>
        <v>2149.42810258584</v>
      </c>
      <c r="AH39" s="10">
        <f t="shared" ref="AH39" si="51">AG39+AF36</f>
        <v>2175.2602378410234</v>
      </c>
      <c r="AI39" s="10">
        <f t="shared" ref="AI39" si="52">AH39+AG36</f>
        <v>2199.8622714173885</v>
      </c>
      <c r="AJ39" s="10">
        <f t="shared" ref="AJ39" si="53">AI39+AH36</f>
        <v>2223.2927795853552</v>
      </c>
      <c r="AK39" s="10">
        <f t="shared" ref="AK39" si="54">AJ39+AI36</f>
        <v>2245.607549269133</v>
      </c>
      <c r="AL39" s="10">
        <f t="shared" ref="AL39" si="55">AK39+AJ36</f>
        <v>2266.8597108727308</v>
      </c>
      <c r="AM39" s="10">
        <f t="shared" ref="AM39" si="56">AL39+AK36</f>
        <v>2287.0998647809192</v>
      </c>
      <c r="AN39" s="10">
        <f t="shared" ref="AN39" si="57">AM39+AL36</f>
        <v>2306.3762018363368</v>
      </c>
      <c r="AO39" s="10">
        <f t="shared" ref="AO39" si="58">AN39+AM36</f>
        <v>2324.7346180795917</v>
      </c>
      <c r="AP39" s="10">
        <f t="shared" ref="AP39" si="59">AO39+AN36</f>
        <v>2342.2188240255487</v>
      </c>
      <c r="AQ39" s="10">
        <f t="shared" ref="AQ39" si="60">AP39+AO36</f>
        <v>2358.8704487359837</v>
      </c>
      <c r="AR39" s="10">
        <f t="shared" ref="AR39" si="61">AQ39+AP36</f>
        <v>2374.7291389363982</v>
      </c>
      <c r="AS39" s="10"/>
    </row>
    <row r="40" spans="2:45" x14ac:dyDescent="0.25">
      <c r="B40" s="7" t="s">
        <v>17</v>
      </c>
      <c r="C40" s="8">
        <f>C30</f>
        <v>5750</v>
      </c>
      <c r="D40" s="6"/>
      <c r="G40" t="s">
        <v>277</v>
      </c>
    </row>
    <row r="41" spans="2:45" x14ac:dyDescent="0.25">
      <c r="B41" s="7" t="s">
        <v>18</v>
      </c>
      <c r="C41" s="8"/>
      <c r="D41" s="6"/>
    </row>
    <row r="42" spans="2:45" x14ac:dyDescent="0.25">
      <c r="B42" s="7" t="s">
        <v>14</v>
      </c>
      <c r="C42" s="8">
        <f>C39-C40</f>
        <v>2374.7291389363972</v>
      </c>
      <c r="D42" s="6"/>
    </row>
    <row r="43" spans="2:45" x14ac:dyDescent="0.25">
      <c r="B43" s="29" t="s">
        <v>9</v>
      </c>
      <c r="C43" s="15">
        <f>(C42/C40)*100%</f>
        <v>0.41299637198893863</v>
      </c>
      <c r="D43" s="5" t="s">
        <v>180</v>
      </c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45" ht="15.75" thickBot="1" x14ac:dyDescent="0.3">
      <c r="E44" s="10"/>
    </row>
    <row r="45" spans="2:45" x14ac:dyDescent="0.25">
      <c r="B45" s="83" t="s">
        <v>155</v>
      </c>
      <c r="C45" s="88"/>
      <c r="F45" s="2"/>
    </row>
    <row r="46" spans="2:45" x14ac:dyDescent="0.25">
      <c r="B46" s="42" t="s">
        <v>151</v>
      </c>
      <c r="C46" s="43" t="s">
        <v>272</v>
      </c>
      <c r="F46" s="2"/>
    </row>
    <row r="47" spans="2:45" x14ac:dyDescent="0.25">
      <c r="B47" s="42" t="s">
        <v>152</v>
      </c>
      <c r="C47" s="43" t="s">
        <v>157</v>
      </c>
    </row>
    <row r="48" spans="2:45" x14ac:dyDescent="0.25">
      <c r="B48" s="42"/>
      <c r="C48" s="45"/>
    </row>
    <row r="49" spans="2:3" x14ac:dyDescent="0.25">
      <c r="B49" s="84" t="s">
        <v>156</v>
      </c>
      <c r="C49" s="108"/>
    </row>
    <row r="50" spans="2:3" x14ac:dyDescent="0.25">
      <c r="B50" s="42" t="s">
        <v>153</v>
      </c>
      <c r="C50" s="43" t="s">
        <v>273</v>
      </c>
    </row>
    <row r="51" spans="2:3" ht="15.75" thickBot="1" x14ac:dyDescent="0.3">
      <c r="B51" s="46" t="s">
        <v>154</v>
      </c>
      <c r="C51" s="47" t="s">
        <v>274</v>
      </c>
    </row>
  </sheetData>
  <phoneticPr fontId="6" type="noConversion"/>
  <pageMargins left="0.7" right="0.7" top="0.75" bottom="0.75" header="0.3" footer="0.3"/>
  <pageSetup paperSize="9" orientation="portrait" verticalDpi="0" r:id="rId1"/>
  <ignoredErrors>
    <ignoredError sqref="C20:AP20" formula="1"/>
  </ignoredErrors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6"/>
  <sheetViews>
    <sheetView workbookViewId="0">
      <selection activeCell="C7" sqref="C7"/>
    </sheetView>
  </sheetViews>
  <sheetFormatPr defaultRowHeight="15" x14ac:dyDescent="0.25"/>
  <cols>
    <col min="1" max="1" width="98.85546875" customWidth="1"/>
    <col min="2" max="2" width="13.85546875" bestFit="1" customWidth="1"/>
    <col min="3" max="3" width="20.7109375" customWidth="1"/>
    <col min="4" max="4" width="24.85546875" customWidth="1"/>
    <col min="5" max="5" width="76.7109375" customWidth="1"/>
    <col min="6" max="6" width="88.140625" customWidth="1"/>
  </cols>
  <sheetData>
    <row r="1" spans="1:6" x14ac:dyDescent="0.25">
      <c r="A1" s="75" t="s">
        <v>289</v>
      </c>
      <c r="E1" t="s">
        <v>13</v>
      </c>
    </row>
    <row r="2" spans="1:6" x14ac:dyDescent="0.25">
      <c r="A2" s="74" t="s">
        <v>326</v>
      </c>
    </row>
    <row r="3" spans="1:6" ht="30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6" x14ac:dyDescent="0.25">
      <c r="B4" s="13"/>
    </row>
    <row r="5" spans="1:6" x14ac:dyDescent="0.25">
      <c r="A5" t="s">
        <v>86</v>
      </c>
      <c r="B5" s="97">
        <f>'BC Warmtepomp-LW-hybride'!C43</f>
        <v>0.41299637198893863</v>
      </c>
      <c r="C5" s="86"/>
      <c r="D5" s="86"/>
      <c r="E5" t="s">
        <v>81</v>
      </c>
    </row>
    <row r="6" spans="1:6" x14ac:dyDescent="0.25">
      <c r="B6" s="97"/>
      <c r="C6" s="86"/>
      <c r="D6" s="86"/>
    </row>
    <row r="7" spans="1:6" ht="30" x14ac:dyDescent="0.25">
      <c r="A7" s="40" t="s">
        <v>127</v>
      </c>
      <c r="B7" s="86"/>
      <c r="C7" s="86">
        <f>'BC Warmtepomp-LW-hybride'!B4*0.6</f>
        <v>-1216.2</v>
      </c>
      <c r="D7" s="86"/>
      <c r="E7" s="103" t="s">
        <v>125</v>
      </c>
    </row>
    <row r="8" spans="1:6" x14ac:dyDescent="0.25">
      <c r="A8" t="s">
        <v>88</v>
      </c>
      <c r="B8" s="86"/>
      <c r="C8" s="86">
        <f>'BC Warmtepomp-LW-hybride'!B5*1.9</f>
        <v>1531.3999999999999</v>
      </c>
      <c r="D8" s="86"/>
      <c r="E8" t="s">
        <v>124</v>
      </c>
    </row>
    <row r="9" spans="1:6" x14ac:dyDescent="0.25">
      <c r="A9" t="s">
        <v>89</v>
      </c>
      <c r="B9" s="86"/>
      <c r="C9" s="86">
        <f>C7+C8</f>
        <v>315.19999999999982</v>
      </c>
      <c r="D9" s="86"/>
      <c r="E9" t="s">
        <v>126</v>
      </c>
    </row>
    <row r="10" spans="1:6" x14ac:dyDescent="0.25">
      <c r="B10" s="86"/>
      <c r="C10" s="86"/>
      <c r="D10" s="86"/>
    </row>
    <row r="11" spans="1:6" ht="30" x14ac:dyDescent="0.25">
      <c r="A11" t="s">
        <v>90</v>
      </c>
      <c r="B11" s="86"/>
      <c r="C11" s="86"/>
      <c r="D11" s="86" t="s">
        <v>110</v>
      </c>
      <c r="E11" s="104" t="s">
        <v>130</v>
      </c>
      <c r="F11" s="2" t="s">
        <v>159</v>
      </c>
    </row>
    <row r="12" spans="1:6" x14ac:dyDescent="0.25">
      <c r="A12" s="40"/>
      <c r="B12" s="86"/>
      <c r="C12" s="86"/>
      <c r="D12" s="86"/>
      <c r="E12" s="40" t="s">
        <v>169</v>
      </c>
      <c r="F12" s="116" t="s">
        <v>109</v>
      </c>
    </row>
    <row r="13" spans="1:6" x14ac:dyDescent="0.25">
      <c r="B13" s="86"/>
      <c r="C13" s="98"/>
      <c r="D13" s="86"/>
      <c r="E13" s="38"/>
      <c r="F13" s="25" t="s">
        <v>108</v>
      </c>
    </row>
    <row r="14" spans="1:6" x14ac:dyDescent="0.25">
      <c r="A14" s="40" t="s">
        <v>186</v>
      </c>
      <c r="B14" s="86">
        <v>3</v>
      </c>
      <c r="C14" s="86">
        <v>1</v>
      </c>
      <c r="D14" s="86">
        <v>3</v>
      </c>
      <c r="E14" s="40" t="s">
        <v>132</v>
      </c>
      <c r="F14" s="117" t="s">
        <v>94</v>
      </c>
    </row>
    <row r="15" spans="1:6" x14ac:dyDescent="0.25">
      <c r="B15" s="86"/>
      <c r="C15" s="26"/>
      <c r="D15" s="86"/>
      <c r="E15" s="40" t="s">
        <v>82</v>
      </c>
      <c r="F15" s="117" t="s">
        <v>291</v>
      </c>
    </row>
    <row r="16" spans="1:6" x14ac:dyDescent="0.25">
      <c r="B16" s="86"/>
      <c r="C16" s="26"/>
      <c r="D16" s="86"/>
      <c r="F16" s="16" t="s">
        <v>95</v>
      </c>
    </row>
    <row r="17" spans="1:6" x14ac:dyDescent="0.25">
      <c r="A17" t="s">
        <v>131</v>
      </c>
      <c r="B17" s="99">
        <v>0.6</v>
      </c>
      <c r="C17" s="99">
        <v>0.1</v>
      </c>
      <c r="D17" s="99">
        <v>0.3</v>
      </c>
      <c r="E17" s="2" t="s">
        <v>84</v>
      </c>
      <c r="F17" s="48" t="s">
        <v>74</v>
      </c>
    </row>
    <row r="18" spans="1:6" ht="18.75" x14ac:dyDescent="0.3">
      <c r="B18" s="4"/>
      <c r="C18" s="4"/>
      <c r="D18" s="4"/>
      <c r="E18" s="14"/>
      <c r="F18" s="16" t="s">
        <v>96</v>
      </c>
    </row>
    <row r="19" spans="1:6" x14ac:dyDescent="0.25">
      <c r="A19" s="110" t="s">
        <v>128</v>
      </c>
      <c r="B19" s="111">
        <f>B14*B17+C14*C17+D14*D17</f>
        <v>2.8</v>
      </c>
      <c r="E19" s="40" t="s">
        <v>129</v>
      </c>
      <c r="F19" s="16" t="s">
        <v>97</v>
      </c>
    </row>
    <row r="20" spans="1:6" x14ac:dyDescent="0.25">
      <c r="F20" s="48" t="s">
        <v>99</v>
      </c>
    </row>
    <row r="21" spans="1:6" x14ac:dyDescent="0.25">
      <c r="F21" s="116" t="s">
        <v>310</v>
      </c>
    </row>
    <row r="22" spans="1:6" x14ac:dyDescent="0.25">
      <c r="F22" s="48" t="s">
        <v>100</v>
      </c>
    </row>
    <row r="23" spans="1:6" x14ac:dyDescent="0.25">
      <c r="F23" s="48" t="s">
        <v>101</v>
      </c>
    </row>
    <row r="24" spans="1:6" x14ac:dyDescent="0.25">
      <c r="F24" s="48" t="s">
        <v>293</v>
      </c>
    </row>
    <row r="25" spans="1:6" x14ac:dyDescent="0.25">
      <c r="F25" s="48" t="s">
        <v>309</v>
      </c>
    </row>
    <row r="26" spans="1:6" x14ac:dyDescent="0.25">
      <c r="F26" s="48" t="s">
        <v>102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R50"/>
  <sheetViews>
    <sheetView workbookViewId="0">
      <selection activeCell="B8" sqref="B8"/>
    </sheetView>
  </sheetViews>
  <sheetFormatPr defaultRowHeight="15" x14ac:dyDescent="0.25"/>
  <cols>
    <col min="1" max="1" width="17.28515625" bestFit="1" customWidth="1"/>
    <col min="2" max="2" width="85.85546875" customWidth="1"/>
    <col min="3" max="3" width="12.7109375" customWidth="1"/>
    <col min="4" max="4" width="16.7109375" customWidth="1"/>
    <col min="5" max="45" width="12.7109375" customWidth="1"/>
  </cols>
  <sheetData>
    <row r="1" spans="1:44" s="113" customFormat="1" x14ac:dyDescent="0.25">
      <c r="B1" s="112" t="s">
        <v>138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  <c r="O1" s="89" t="s">
        <v>237</v>
      </c>
      <c r="P1" s="89" t="s">
        <v>238</v>
      </c>
      <c r="Q1" s="89" t="s">
        <v>239</v>
      </c>
      <c r="R1" s="89" t="s">
        <v>240</v>
      </c>
      <c r="S1" s="89" t="s">
        <v>241</v>
      </c>
      <c r="T1" s="89" t="s">
        <v>242</v>
      </c>
      <c r="U1" s="89" t="s">
        <v>243</v>
      </c>
      <c r="V1" s="89" t="s">
        <v>244</v>
      </c>
      <c r="W1" s="89" t="s">
        <v>245</v>
      </c>
      <c r="X1" s="89" t="s">
        <v>246</v>
      </c>
      <c r="Y1" s="89" t="s">
        <v>247</v>
      </c>
      <c r="Z1" s="89" t="s">
        <v>248</v>
      </c>
      <c r="AA1" s="89" t="s">
        <v>249</v>
      </c>
      <c r="AB1" s="89" t="s">
        <v>250</v>
      </c>
      <c r="AC1" s="89" t="s">
        <v>251</v>
      </c>
      <c r="AD1" s="89" t="s">
        <v>252</v>
      </c>
      <c r="AE1" s="89" t="s">
        <v>253</v>
      </c>
      <c r="AF1" s="89" t="s">
        <v>254</v>
      </c>
      <c r="AG1" s="89" t="s">
        <v>255</v>
      </c>
      <c r="AH1" s="89" t="s">
        <v>256</v>
      </c>
      <c r="AI1" s="89" t="s">
        <v>257</v>
      </c>
      <c r="AJ1" s="89" t="s">
        <v>258</v>
      </c>
      <c r="AK1" s="89" t="s">
        <v>259</v>
      </c>
      <c r="AL1" s="89" t="s">
        <v>260</v>
      </c>
      <c r="AM1" s="89" t="s">
        <v>261</v>
      </c>
      <c r="AN1" s="89" t="s">
        <v>262</v>
      </c>
      <c r="AO1" s="89" t="s">
        <v>263</v>
      </c>
      <c r="AP1" s="89" t="s">
        <v>264</v>
      </c>
      <c r="AQ1" s="89" t="s">
        <v>265</v>
      </c>
      <c r="AR1" s="89" t="s">
        <v>266</v>
      </c>
    </row>
    <row r="2" spans="1:44" x14ac:dyDescent="0.25">
      <c r="B2" s="2" t="s">
        <v>211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x14ac:dyDescent="0.25">
      <c r="A3" t="s">
        <v>307</v>
      </c>
      <c r="B3" s="113">
        <v>-1883</v>
      </c>
      <c r="C3" s="130"/>
      <c r="D3" s="113"/>
      <c r="E3" s="113"/>
      <c r="F3" s="113"/>
      <c r="G3" s="113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</row>
    <row r="4" spans="1:44" x14ac:dyDescent="0.25">
      <c r="A4" t="s">
        <v>308</v>
      </c>
      <c r="B4" s="133">
        <v>10000</v>
      </c>
      <c r="C4" s="130"/>
      <c r="D4" s="113"/>
      <c r="E4" s="113"/>
      <c r="F4" s="113"/>
      <c r="G4" s="113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</row>
    <row r="5" spans="1:44" x14ac:dyDescent="0.25">
      <c r="A5" t="s">
        <v>286</v>
      </c>
      <c r="B5" s="134">
        <v>0.22</v>
      </c>
      <c r="C5" s="113"/>
      <c r="D5" s="113"/>
      <c r="E5" s="113"/>
      <c r="F5" s="113"/>
      <c r="G5" s="113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</row>
    <row r="6" spans="1:44" x14ac:dyDescent="0.25">
      <c r="A6" t="s">
        <v>287</v>
      </c>
      <c r="B6" s="134">
        <v>0.8</v>
      </c>
      <c r="C6" s="113"/>
      <c r="D6" s="113"/>
      <c r="E6" s="113"/>
      <c r="F6" s="113"/>
      <c r="G6" s="113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</row>
    <row r="7" spans="1:44" x14ac:dyDescent="0.25">
      <c r="B7" s="1"/>
      <c r="C7" s="82"/>
      <c r="D7" s="82"/>
      <c r="E7" s="82"/>
      <c r="F7" s="82"/>
      <c r="G7" s="8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x14ac:dyDescent="0.25">
      <c r="B8" s="28" t="s">
        <v>290</v>
      </c>
      <c r="C8" s="5">
        <f t="shared" ref="C8:AP8" si="0">0.8*$B$4</f>
        <v>8000</v>
      </c>
      <c r="D8" s="5">
        <f t="shared" si="0"/>
        <v>8000</v>
      </c>
      <c r="E8" s="5">
        <f t="shared" si="0"/>
        <v>8000</v>
      </c>
      <c r="F8" s="5">
        <f t="shared" si="0"/>
        <v>8000</v>
      </c>
      <c r="G8" s="5">
        <f t="shared" si="0"/>
        <v>8000</v>
      </c>
      <c r="H8" s="5">
        <f t="shared" si="0"/>
        <v>8000</v>
      </c>
      <c r="I8" s="5">
        <f t="shared" si="0"/>
        <v>8000</v>
      </c>
      <c r="J8" s="5">
        <f t="shared" si="0"/>
        <v>8000</v>
      </c>
      <c r="K8" s="5">
        <f t="shared" si="0"/>
        <v>8000</v>
      </c>
      <c r="L8" s="5">
        <f t="shared" si="0"/>
        <v>8000</v>
      </c>
      <c r="M8" s="5">
        <f t="shared" si="0"/>
        <v>8000</v>
      </c>
      <c r="N8" s="5">
        <f t="shared" si="0"/>
        <v>8000</v>
      </c>
      <c r="O8" s="5">
        <f t="shared" si="0"/>
        <v>8000</v>
      </c>
      <c r="P8" s="5">
        <f t="shared" si="0"/>
        <v>8000</v>
      </c>
      <c r="Q8" s="5">
        <f t="shared" si="0"/>
        <v>8000</v>
      </c>
      <c r="R8" s="5">
        <f t="shared" si="0"/>
        <v>8000</v>
      </c>
      <c r="S8" s="5">
        <f t="shared" si="0"/>
        <v>8000</v>
      </c>
      <c r="T8" s="5">
        <f t="shared" si="0"/>
        <v>8000</v>
      </c>
      <c r="U8" s="5">
        <f t="shared" si="0"/>
        <v>8000</v>
      </c>
      <c r="V8" s="5">
        <f t="shared" si="0"/>
        <v>8000</v>
      </c>
      <c r="W8" s="5">
        <f t="shared" si="0"/>
        <v>8000</v>
      </c>
      <c r="X8" s="5">
        <f t="shared" si="0"/>
        <v>8000</v>
      </c>
      <c r="Y8" s="5">
        <f t="shared" si="0"/>
        <v>8000</v>
      </c>
      <c r="Z8" s="5">
        <f t="shared" si="0"/>
        <v>8000</v>
      </c>
      <c r="AA8" s="5">
        <f t="shared" si="0"/>
        <v>8000</v>
      </c>
      <c r="AB8" s="5">
        <f t="shared" si="0"/>
        <v>8000</v>
      </c>
      <c r="AC8" s="5">
        <f t="shared" si="0"/>
        <v>8000</v>
      </c>
      <c r="AD8" s="5">
        <f t="shared" si="0"/>
        <v>8000</v>
      </c>
      <c r="AE8" s="5">
        <f t="shared" si="0"/>
        <v>8000</v>
      </c>
      <c r="AF8" s="5">
        <f t="shared" si="0"/>
        <v>8000</v>
      </c>
      <c r="AG8" s="5">
        <f t="shared" si="0"/>
        <v>8000</v>
      </c>
      <c r="AH8" s="5">
        <f t="shared" si="0"/>
        <v>8000</v>
      </c>
      <c r="AI8" s="5">
        <f t="shared" si="0"/>
        <v>8000</v>
      </c>
      <c r="AJ8" s="5">
        <f t="shared" si="0"/>
        <v>8000</v>
      </c>
      <c r="AK8" s="5">
        <f t="shared" si="0"/>
        <v>8000</v>
      </c>
      <c r="AL8" s="5">
        <f t="shared" si="0"/>
        <v>8000</v>
      </c>
      <c r="AM8" s="5">
        <f t="shared" si="0"/>
        <v>8000</v>
      </c>
      <c r="AN8" s="5">
        <f t="shared" si="0"/>
        <v>8000</v>
      </c>
      <c r="AO8" s="5">
        <f t="shared" si="0"/>
        <v>8000</v>
      </c>
      <c r="AP8" s="5">
        <f t="shared" si="0"/>
        <v>8000</v>
      </c>
      <c r="AQ8" s="5">
        <v>0</v>
      </c>
      <c r="AR8" s="5"/>
    </row>
    <row r="9" spans="1:44" x14ac:dyDescent="0.25">
      <c r="B9" t="s">
        <v>149</v>
      </c>
      <c r="C9" s="6">
        <v>2818</v>
      </c>
      <c r="D9" s="6">
        <v>2818</v>
      </c>
      <c r="E9" s="6">
        <v>2818</v>
      </c>
      <c r="F9" s="6">
        <v>2818</v>
      </c>
      <c r="G9" s="6">
        <v>2818</v>
      </c>
      <c r="H9" s="6">
        <v>2818</v>
      </c>
      <c r="I9" s="6">
        <v>2818</v>
      </c>
      <c r="J9" s="6">
        <v>2818</v>
      </c>
      <c r="K9" s="6">
        <v>2818</v>
      </c>
      <c r="L9" s="6">
        <v>2818</v>
      </c>
      <c r="M9" s="6">
        <v>2818</v>
      </c>
      <c r="N9" s="6">
        <v>2818</v>
      </c>
      <c r="O9" s="6">
        <v>2818</v>
      </c>
      <c r="P9" s="6">
        <v>2818</v>
      </c>
      <c r="Q9" s="6">
        <v>2818</v>
      </c>
      <c r="R9" s="6">
        <v>2818</v>
      </c>
      <c r="S9" s="6">
        <v>2818</v>
      </c>
      <c r="T9" s="6">
        <v>2818</v>
      </c>
      <c r="U9" s="6">
        <v>2818</v>
      </c>
      <c r="V9" s="6">
        <v>2818</v>
      </c>
      <c r="W9" s="6">
        <v>2818</v>
      </c>
      <c r="X9" s="6">
        <v>2818</v>
      </c>
      <c r="Y9" s="6">
        <v>2818</v>
      </c>
      <c r="Z9" s="6">
        <v>2818</v>
      </c>
      <c r="AA9" s="6">
        <v>2818</v>
      </c>
      <c r="AB9" s="6">
        <v>2818</v>
      </c>
      <c r="AC9" s="6">
        <v>2818</v>
      </c>
      <c r="AD9" s="6">
        <v>2818</v>
      </c>
      <c r="AE9" s="6">
        <v>2818</v>
      </c>
      <c r="AF9" s="6">
        <v>2818</v>
      </c>
      <c r="AG9" s="6">
        <v>2818</v>
      </c>
      <c r="AH9" s="6">
        <v>2818</v>
      </c>
      <c r="AI9" s="6">
        <v>2818</v>
      </c>
      <c r="AJ9" s="6">
        <v>2818</v>
      </c>
      <c r="AK9" s="6">
        <v>2818</v>
      </c>
      <c r="AL9" s="6">
        <v>2818</v>
      </c>
      <c r="AM9" s="6">
        <v>2818</v>
      </c>
      <c r="AN9" s="6">
        <v>2818</v>
      </c>
      <c r="AO9" s="6">
        <v>2818</v>
      </c>
      <c r="AP9" s="6">
        <v>2818</v>
      </c>
      <c r="AQ9" s="5"/>
      <c r="AR9" s="5"/>
    </row>
    <row r="10" spans="1:44" x14ac:dyDescent="0.25">
      <c r="B10" t="s">
        <v>148</v>
      </c>
      <c r="C10" s="6">
        <f t="shared" ref="C10:AP10" si="1">0.22*$B$3</f>
        <v>-414.26</v>
      </c>
      <c r="D10" s="6">
        <f t="shared" si="1"/>
        <v>-414.26</v>
      </c>
      <c r="E10" s="6">
        <f t="shared" si="1"/>
        <v>-414.26</v>
      </c>
      <c r="F10" s="6">
        <f t="shared" si="1"/>
        <v>-414.26</v>
      </c>
      <c r="G10" s="6">
        <f t="shared" si="1"/>
        <v>-414.26</v>
      </c>
      <c r="H10" s="6">
        <f t="shared" si="1"/>
        <v>-414.26</v>
      </c>
      <c r="I10" s="6">
        <f t="shared" si="1"/>
        <v>-414.26</v>
      </c>
      <c r="J10" s="6">
        <f t="shared" si="1"/>
        <v>-414.26</v>
      </c>
      <c r="K10" s="6">
        <f t="shared" si="1"/>
        <v>-414.26</v>
      </c>
      <c r="L10" s="6">
        <f t="shared" si="1"/>
        <v>-414.26</v>
      </c>
      <c r="M10" s="6">
        <f t="shared" si="1"/>
        <v>-414.26</v>
      </c>
      <c r="N10" s="6">
        <f t="shared" si="1"/>
        <v>-414.26</v>
      </c>
      <c r="O10" s="6">
        <f t="shared" si="1"/>
        <v>-414.26</v>
      </c>
      <c r="P10" s="6">
        <f t="shared" si="1"/>
        <v>-414.26</v>
      </c>
      <c r="Q10" s="6">
        <f t="shared" si="1"/>
        <v>-414.26</v>
      </c>
      <c r="R10" s="6">
        <f t="shared" si="1"/>
        <v>-414.26</v>
      </c>
      <c r="S10" s="6">
        <f t="shared" si="1"/>
        <v>-414.26</v>
      </c>
      <c r="T10" s="6">
        <f t="shared" si="1"/>
        <v>-414.26</v>
      </c>
      <c r="U10" s="6">
        <f t="shared" si="1"/>
        <v>-414.26</v>
      </c>
      <c r="V10" s="6">
        <f t="shared" si="1"/>
        <v>-414.26</v>
      </c>
      <c r="W10" s="6">
        <f t="shared" si="1"/>
        <v>-414.26</v>
      </c>
      <c r="X10" s="6">
        <f t="shared" si="1"/>
        <v>-414.26</v>
      </c>
      <c r="Y10" s="6">
        <f t="shared" si="1"/>
        <v>-414.26</v>
      </c>
      <c r="Z10" s="6">
        <f t="shared" si="1"/>
        <v>-414.26</v>
      </c>
      <c r="AA10" s="6">
        <f t="shared" si="1"/>
        <v>-414.26</v>
      </c>
      <c r="AB10" s="6">
        <f t="shared" si="1"/>
        <v>-414.26</v>
      </c>
      <c r="AC10" s="6">
        <f t="shared" si="1"/>
        <v>-414.26</v>
      </c>
      <c r="AD10" s="6">
        <f t="shared" si="1"/>
        <v>-414.26</v>
      </c>
      <c r="AE10" s="6">
        <f t="shared" si="1"/>
        <v>-414.26</v>
      </c>
      <c r="AF10" s="6">
        <f t="shared" si="1"/>
        <v>-414.26</v>
      </c>
      <c r="AG10" s="6">
        <f t="shared" si="1"/>
        <v>-414.26</v>
      </c>
      <c r="AH10" s="6">
        <f t="shared" si="1"/>
        <v>-414.26</v>
      </c>
      <c r="AI10" s="6">
        <f t="shared" si="1"/>
        <v>-414.26</v>
      </c>
      <c r="AJ10" s="6">
        <f t="shared" si="1"/>
        <v>-414.26</v>
      </c>
      <c r="AK10" s="6">
        <f t="shared" si="1"/>
        <v>-414.26</v>
      </c>
      <c r="AL10" s="6">
        <f t="shared" si="1"/>
        <v>-414.26</v>
      </c>
      <c r="AM10" s="6">
        <f t="shared" si="1"/>
        <v>-414.26</v>
      </c>
      <c r="AN10" s="6">
        <f t="shared" si="1"/>
        <v>-414.26</v>
      </c>
      <c r="AO10" s="6">
        <f t="shared" si="1"/>
        <v>-414.26</v>
      </c>
      <c r="AP10" s="6">
        <f t="shared" si="1"/>
        <v>-414.26</v>
      </c>
      <c r="AQ10" s="5"/>
      <c r="AR10" s="5"/>
    </row>
    <row r="11" spans="1:44" x14ac:dyDescent="0.25">
      <c r="B11" t="s">
        <v>147</v>
      </c>
      <c r="C11" s="6">
        <v>600</v>
      </c>
      <c r="D11" s="6">
        <v>600</v>
      </c>
      <c r="E11" s="6">
        <v>600</v>
      </c>
      <c r="F11" s="6">
        <v>600</v>
      </c>
      <c r="G11" s="6">
        <v>600</v>
      </c>
      <c r="H11" s="6">
        <v>600</v>
      </c>
      <c r="I11" s="6">
        <v>600</v>
      </c>
      <c r="J11" s="6">
        <v>600</v>
      </c>
      <c r="K11" s="6">
        <v>600</v>
      </c>
      <c r="L11" s="6">
        <v>600</v>
      </c>
      <c r="M11" s="6">
        <v>600</v>
      </c>
      <c r="N11" s="6">
        <v>600</v>
      </c>
      <c r="O11" s="6">
        <v>600</v>
      </c>
      <c r="P11" s="6">
        <v>600</v>
      </c>
      <c r="Q11" s="6">
        <v>600</v>
      </c>
      <c r="R11" s="6">
        <v>600</v>
      </c>
      <c r="S11" s="6">
        <v>600</v>
      </c>
      <c r="T11" s="6">
        <v>600</v>
      </c>
      <c r="U11" s="6">
        <v>600</v>
      </c>
      <c r="V11" s="6">
        <v>600</v>
      </c>
      <c r="W11" s="6">
        <v>600</v>
      </c>
      <c r="X11" s="6">
        <v>600</v>
      </c>
      <c r="Y11" s="6">
        <v>600</v>
      </c>
      <c r="Z11" s="6">
        <v>600</v>
      </c>
      <c r="AA11" s="6">
        <v>600</v>
      </c>
      <c r="AB11" s="6">
        <v>600</v>
      </c>
      <c r="AC11" s="6">
        <v>600</v>
      </c>
      <c r="AD11" s="6">
        <v>600</v>
      </c>
      <c r="AE11" s="6">
        <v>600</v>
      </c>
      <c r="AF11" s="6">
        <v>600</v>
      </c>
      <c r="AG11" s="6">
        <v>600</v>
      </c>
      <c r="AH11" s="6">
        <v>600</v>
      </c>
      <c r="AI11" s="6">
        <v>600</v>
      </c>
      <c r="AJ11" s="6">
        <v>600</v>
      </c>
      <c r="AK11" s="6">
        <v>600</v>
      </c>
      <c r="AL11" s="6">
        <v>600</v>
      </c>
      <c r="AM11" s="6">
        <v>600</v>
      </c>
      <c r="AN11" s="6">
        <v>600</v>
      </c>
      <c r="AO11" s="6">
        <v>600</v>
      </c>
      <c r="AP11" s="6">
        <v>600</v>
      </c>
      <c r="AQ11" s="6">
        <v>0</v>
      </c>
      <c r="AR11" s="5"/>
    </row>
    <row r="12" spans="1:44" x14ac:dyDescent="0.25">
      <c r="B12" t="s">
        <v>134</v>
      </c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x14ac:dyDescent="0.25">
      <c r="B13" t="s">
        <v>21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x14ac:dyDescent="0.25">
      <c r="B14" s="1" t="s">
        <v>1</v>
      </c>
      <c r="C14" s="5">
        <f>C8-SUM(C9:C13)</f>
        <v>4996.26</v>
      </c>
      <c r="D14" s="5">
        <f>D8-SUM(D9:D13)</f>
        <v>4996.26</v>
      </c>
      <c r="E14" s="5">
        <f>E8-SUM(E9:E13)</f>
        <v>4996.26</v>
      </c>
      <c r="F14" s="5">
        <f>F8-SUM(F9:F13)</f>
        <v>4996.26</v>
      </c>
      <c r="G14" s="5">
        <f>G8-SUM(G9:G13)</f>
        <v>4996.26</v>
      </c>
      <c r="H14" s="5">
        <f t="shared" ref="H14:AQ14" si="2">H8-SUM(H9:H13)</f>
        <v>4996.26</v>
      </c>
      <c r="I14" s="5">
        <f t="shared" si="2"/>
        <v>4996.26</v>
      </c>
      <c r="J14" s="5">
        <f t="shared" si="2"/>
        <v>4996.26</v>
      </c>
      <c r="K14" s="5">
        <f t="shared" si="2"/>
        <v>4996.26</v>
      </c>
      <c r="L14" s="5">
        <f t="shared" si="2"/>
        <v>4996.26</v>
      </c>
      <c r="M14" s="5">
        <f t="shared" si="2"/>
        <v>4996.26</v>
      </c>
      <c r="N14" s="5">
        <f t="shared" si="2"/>
        <v>4996.26</v>
      </c>
      <c r="O14" s="5">
        <f t="shared" si="2"/>
        <v>4996.26</v>
      </c>
      <c r="P14" s="5">
        <f t="shared" si="2"/>
        <v>4996.26</v>
      </c>
      <c r="Q14" s="5">
        <f t="shared" si="2"/>
        <v>4996.26</v>
      </c>
      <c r="R14" s="5">
        <f t="shared" si="2"/>
        <v>4996.26</v>
      </c>
      <c r="S14" s="5">
        <f t="shared" si="2"/>
        <v>4996.26</v>
      </c>
      <c r="T14" s="5">
        <f t="shared" si="2"/>
        <v>4996.26</v>
      </c>
      <c r="U14" s="5">
        <f t="shared" si="2"/>
        <v>4996.26</v>
      </c>
      <c r="V14" s="5">
        <f t="shared" si="2"/>
        <v>4996.26</v>
      </c>
      <c r="W14" s="5">
        <f t="shared" si="2"/>
        <v>4996.26</v>
      </c>
      <c r="X14" s="5">
        <f t="shared" si="2"/>
        <v>4996.26</v>
      </c>
      <c r="Y14" s="5">
        <f t="shared" si="2"/>
        <v>4996.26</v>
      </c>
      <c r="Z14" s="5">
        <f t="shared" si="2"/>
        <v>4996.26</v>
      </c>
      <c r="AA14" s="5">
        <f t="shared" si="2"/>
        <v>4996.26</v>
      </c>
      <c r="AB14" s="5">
        <f t="shared" si="2"/>
        <v>4996.26</v>
      </c>
      <c r="AC14" s="5">
        <f t="shared" si="2"/>
        <v>4996.26</v>
      </c>
      <c r="AD14" s="5">
        <f t="shared" si="2"/>
        <v>4996.26</v>
      </c>
      <c r="AE14" s="5">
        <f t="shared" si="2"/>
        <v>4996.26</v>
      </c>
      <c r="AF14" s="5">
        <f t="shared" si="2"/>
        <v>4996.26</v>
      </c>
      <c r="AG14" s="5">
        <f t="shared" si="2"/>
        <v>4996.26</v>
      </c>
      <c r="AH14" s="5">
        <f t="shared" si="2"/>
        <v>4996.26</v>
      </c>
      <c r="AI14" s="5">
        <f t="shared" si="2"/>
        <v>4996.26</v>
      </c>
      <c r="AJ14" s="5">
        <f t="shared" si="2"/>
        <v>4996.26</v>
      </c>
      <c r="AK14" s="5">
        <f t="shared" si="2"/>
        <v>4996.26</v>
      </c>
      <c r="AL14" s="5">
        <f t="shared" si="2"/>
        <v>4996.26</v>
      </c>
      <c r="AM14" s="5">
        <f t="shared" si="2"/>
        <v>4996.26</v>
      </c>
      <c r="AN14" s="5">
        <f t="shared" si="2"/>
        <v>4996.26</v>
      </c>
      <c r="AO14" s="5">
        <f t="shared" si="2"/>
        <v>4996.26</v>
      </c>
      <c r="AP14" s="5">
        <f t="shared" si="2"/>
        <v>4996.26</v>
      </c>
      <c r="AQ14" s="5">
        <f t="shared" si="2"/>
        <v>0</v>
      </c>
      <c r="AR14" s="5"/>
    </row>
    <row r="15" spans="1:44" ht="30" x14ac:dyDescent="0.25">
      <c r="B15" s="55" t="s">
        <v>16</v>
      </c>
      <c r="C15" s="6">
        <f>$C29/15</f>
        <v>8526.6666666666661</v>
      </c>
      <c r="D15" s="6">
        <f t="shared" ref="D15:Q15" si="3">$C29/15</f>
        <v>8526.6666666666661</v>
      </c>
      <c r="E15" s="6">
        <f t="shared" si="3"/>
        <v>8526.6666666666661</v>
      </c>
      <c r="F15" s="6">
        <f t="shared" si="3"/>
        <v>8526.6666666666661</v>
      </c>
      <c r="G15" s="6">
        <f t="shared" si="3"/>
        <v>8526.6666666666661</v>
      </c>
      <c r="H15" s="6">
        <f t="shared" si="3"/>
        <v>8526.6666666666661</v>
      </c>
      <c r="I15" s="6">
        <f t="shared" si="3"/>
        <v>8526.6666666666661</v>
      </c>
      <c r="J15" s="6">
        <f t="shared" si="3"/>
        <v>8526.6666666666661</v>
      </c>
      <c r="K15" s="6">
        <f t="shared" si="3"/>
        <v>8526.6666666666661</v>
      </c>
      <c r="L15" s="6">
        <f t="shared" si="3"/>
        <v>8526.6666666666661</v>
      </c>
      <c r="M15" s="6">
        <f t="shared" si="3"/>
        <v>8526.6666666666661</v>
      </c>
      <c r="N15" s="6">
        <f t="shared" si="3"/>
        <v>8526.6666666666661</v>
      </c>
      <c r="O15" s="6">
        <f t="shared" si="3"/>
        <v>8526.6666666666661</v>
      </c>
      <c r="P15" s="6">
        <f t="shared" si="3"/>
        <v>8526.6666666666661</v>
      </c>
      <c r="Q15" s="6">
        <f t="shared" si="3"/>
        <v>8526.6666666666661</v>
      </c>
      <c r="R15" s="6"/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/>
      <c r="AR15" s="5"/>
    </row>
    <row r="16" spans="1:44" x14ac:dyDescent="0.25">
      <c r="B16" s="1" t="s">
        <v>2</v>
      </c>
      <c r="C16" s="5">
        <f t="shared" ref="C16:AQ16" si="4">C14-C15</f>
        <v>-3530.4066666666658</v>
      </c>
      <c r="D16" s="5">
        <f t="shared" si="4"/>
        <v>-3530.4066666666658</v>
      </c>
      <c r="E16" s="5">
        <f t="shared" si="4"/>
        <v>-3530.4066666666658</v>
      </c>
      <c r="F16" s="5">
        <f t="shared" si="4"/>
        <v>-3530.4066666666658</v>
      </c>
      <c r="G16" s="5">
        <f t="shared" si="4"/>
        <v>-3530.4066666666658</v>
      </c>
      <c r="H16" s="5">
        <f t="shared" si="4"/>
        <v>-3530.4066666666658</v>
      </c>
      <c r="I16" s="5">
        <f t="shared" si="4"/>
        <v>-3530.4066666666658</v>
      </c>
      <c r="J16" s="5">
        <f t="shared" si="4"/>
        <v>-3530.4066666666658</v>
      </c>
      <c r="K16" s="5">
        <f t="shared" si="4"/>
        <v>-3530.4066666666658</v>
      </c>
      <c r="L16" s="5">
        <f t="shared" si="4"/>
        <v>-3530.4066666666658</v>
      </c>
      <c r="M16" s="5">
        <f t="shared" si="4"/>
        <v>-3530.4066666666658</v>
      </c>
      <c r="N16" s="5">
        <f t="shared" si="4"/>
        <v>-3530.4066666666658</v>
      </c>
      <c r="O16" s="5">
        <f t="shared" si="4"/>
        <v>-3530.4066666666658</v>
      </c>
      <c r="P16" s="5">
        <f t="shared" si="4"/>
        <v>-3530.4066666666658</v>
      </c>
      <c r="Q16" s="5">
        <f t="shared" si="4"/>
        <v>-3530.4066666666658</v>
      </c>
      <c r="R16" s="5">
        <f t="shared" si="4"/>
        <v>4996.26</v>
      </c>
      <c r="S16" s="5">
        <f t="shared" si="4"/>
        <v>4996.26</v>
      </c>
      <c r="T16" s="5">
        <f t="shared" si="4"/>
        <v>4996.26</v>
      </c>
      <c r="U16" s="5">
        <f t="shared" si="4"/>
        <v>4996.26</v>
      </c>
      <c r="V16" s="5">
        <f t="shared" si="4"/>
        <v>4996.26</v>
      </c>
      <c r="W16" s="5">
        <f t="shared" si="4"/>
        <v>4996.26</v>
      </c>
      <c r="X16" s="5">
        <f t="shared" si="4"/>
        <v>4996.26</v>
      </c>
      <c r="Y16" s="5">
        <f t="shared" si="4"/>
        <v>4996.26</v>
      </c>
      <c r="Z16" s="5">
        <f t="shared" si="4"/>
        <v>4996.26</v>
      </c>
      <c r="AA16" s="5">
        <f t="shared" si="4"/>
        <v>4996.26</v>
      </c>
      <c r="AB16" s="5">
        <f t="shared" si="4"/>
        <v>4996.26</v>
      </c>
      <c r="AC16" s="5">
        <f t="shared" si="4"/>
        <v>4996.26</v>
      </c>
      <c r="AD16" s="5">
        <f t="shared" si="4"/>
        <v>4996.26</v>
      </c>
      <c r="AE16" s="5">
        <f t="shared" si="4"/>
        <v>4996.26</v>
      </c>
      <c r="AF16" s="5">
        <f t="shared" si="4"/>
        <v>4996.26</v>
      </c>
      <c r="AG16" s="5">
        <f t="shared" si="4"/>
        <v>4996.26</v>
      </c>
      <c r="AH16" s="5">
        <f t="shared" si="4"/>
        <v>4996.26</v>
      </c>
      <c r="AI16" s="5">
        <f t="shared" si="4"/>
        <v>4996.26</v>
      </c>
      <c r="AJ16" s="5">
        <f t="shared" si="4"/>
        <v>4996.26</v>
      </c>
      <c r="AK16" s="5">
        <f t="shared" si="4"/>
        <v>4996.26</v>
      </c>
      <c r="AL16" s="5">
        <f t="shared" si="4"/>
        <v>4996.26</v>
      </c>
      <c r="AM16" s="5">
        <f t="shared" si="4"/>
        <v>4996.26</v>
      </c>
      <c r="AN16" s="5">
        <f t="shared" si="4"/>
        <v>4996.26</v>
      </c>
      <c r="AO16" s="5">
        <f t="shared" si="4"/>
        <v>4996.26</v>
      </c>
      <c r="AP16" s="5">
        <f t="shared" si="4"/>
        <v>4996.26</v>
      </c>
      <c r="AQ16" s="5">
        <f t="shared" si="4"/>
        <v>0</v>
      </c>
      <c r="AR16" s="5"/>
    </row>
    <row r="17" spans="2:44" x14ac:dyDescent="0.25">
      <c r="B17" t="s">
        <v>23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5"/>
    </row>
    <row r="18" spans="2:44" x14ac:dyDescent="0.25">
      <c r="B18" s="1" t="s">
        <v>3</v>
      </c>
      <c r="C18" s="5">
        <f t="shared" ref="C18:AQ18" si="5">C16-C17</f>
        <v>-3530.4066666666658</v>
      </c>
      <c r="D18" s="5">
        <f t="shared" si="5"/>
        <v>-3530.4066666666658</v>
      </c>
      <c r="E18" s="5">
        <f t="shared" si="5"/>
        <v>-3530.4066666666658</v>
      </c>
      <c r="F18" s="5">
        <f t="shared" si="5"/>
        <v>-3530.4066666666658</v>
      </c>
      <c r="G18" s="5">
        <f t="shared" si="5"/>
        <v>-3530.4066666666658</v>
      </c>
      <c r="H18" s="5">
        <f t="shared" si="5"/>
        <v>-3530.4066666666658</v>
      </c>
      <c r="I18" s="5">
        <f t="shared" si="5"/>
        <v>-3530.4066666666658</v>
      </c>
      <c r="J18" s="5">
        <f t="shared" si="5"/>
        <v>-3530.4066666666658</v>
      </c>
      <c r="K18" s="5">
        <f t="shared" si="5"/>
        <v>-3530.4066666666658</v>
      </c>
      <c r="L18" s="5">
        <f t="shared" si="5"/>
        <v>-3530.4066666666658</v>
      </c>
      <c r="M18" s="5">
        <f t="shared" si="5"/>
        <v>-3530.4066666666658</v>
      </c>
      <c r="N18" s="5">
        <f t="shared" si="5"/>
        <v>-3530.4066666666658</v>
      </c>
      <c r="O18" s="5">
        <f t="shared" si="5"/>
        <v>-3530.4066666666658</v>
      </c>
      <c r="P18" s="5">
        <f t="shared" si="5"/>
        <v>-3530.4066666666658</v>
      </c>
      <c r="Q18" s="5">
        <f t="shared" si="5"/>
        <v>-3530.4066666666658</v>
      </c>
      <c r="R18" s="5">
        <f t="shared" si="5"/>
        <v>4996.26</v>
      </c>
      <c r="S18" s="5">
        <f t="shared" si="5"/>
        <v>4996.26</v>
      </c>
      <c r="T18" s="5">
        <f t="shared" si="5"/>
        <v>4996.26</v>
      </c>
      <c r="U18" s="5">
        <f t="shared" si="5"/>
        <v>4996.26</v>
      </c>
      <c r="V18" s="5">
        <f t="shared" si="5"/>
        <v>4996.26</v>
      </c>
      <c r="W18" s="5">
        <f t="shared" si="5"/>
        <v>4996.26</v>
      </c>
      <c r="X18" s="5">
        <f t="shared" si="5"/>
        <v>4996.26</v>
      </c>
      <c r="Y18" s="5">
        <f t="shared" si="5"/>
        <v>4996.26</v>
      </c>
      <c r="Z18" s="5">
        <f t="shared" si="5"/>
        <v>4996.26</v>
      </c>
      <c r="AA18" s="5">
        <f t="shared" si="5"/>
        <v>4996.26</v>
      </c>
      <c r="AB18" s="5">
        <f t="shared" si="5"/>
        <v>4996.26</v>
      </c>
      <c r="AC18" s="5">
        <f t="shared" si="5"/>
        <v>4996.26</v>
      </c>
      <c r="AD18" s="5">
        <f t="shared" si="5"/>
        <v>4996.26</v>
      </c>
      <c r="AE18" s="5">
        <f t="shared" si="5"/>
        <v>4996.26</v>
      </c>
      <c r="AF18" s="5">
        <f t="shared" si="5"/>
        <v>4996.26</v>
      </c>
      <c r="AG18" s="5">
        <f t="shared" si="5"/>
        <v>4996.26</v>
      </c>
      <c r="AH18" s="5">
        <f t="shared" si="5"/>
        <v>4996.26</v>
      </c>
      <c r="AI18" s="5">
        <f t="shared" si="5"/>
        <v>4996.26</v>
      </c>
      <c r="AJ18" s="5">
        <f t="shared" si="5"/>
        <v>4996.26</v>
      </c>
      <c r="AK18" s="5">
        <f t="shared" si="5"/>
        <v>4996.26</v>
      </c>
      <c r="AL18" s="5">
        <f t="shared" si="5"/>
        <v>4996.26</v>
      </c>
      <c r="AM18" s="5">
        <f t="shared" si="5"/>
        <v>4996.26</v>
      </c>
      <c r="AN18" s="5">
        <f t="shared" si="5"/>
        <v>4996.26</v>
      </c>
      <c r="AO18" s="5">
        <f t="shared" si="5"/>
        <v>4996.26</v>
      </c>
      <c r="AP18" s="5">
        <f t="shared" si="5"/>
        <v>4996.26</v>
      </c>
      <c r="AQ18" s="5">
        <f t="shared" si="5"/>
        <v>0</v>
      </c>
      <c r="AR18" s="5"/>
    </row>
    <row r="19" spans="2:44" x14ac:dyDescent="0.25">
      <c r="B19" t="s">
        <v>20</v>
      </c>
      <c r="C19" s="6">
        <f>0.25*C18</f>
        <v>-882.60166666666646</v>
      </c>
      <c r="D19" s="6">
        <f t="shared" ref="D19:AQ19" si="6">0.25*D18</f>
        <v>-882.60166666666646</v>
      </c>
      <c r="E19" s="6">
        <f t="shared" si="6"/>
        <v>-882.60166666666646</v>
      </c>
      <c r="F19" s="6">
        <f t="shared" si="6"/>
        <v>-882.60166666666646</v>
      </c>
      <c r="G19" s="6">
        <f t="shared" si="6"/>
        <v>-882.60166666666646</v>
      </c>
      <c r="H19" s="6">
        <f t="shared" si="6"/>
        <v>-882.60166666666646</v>
      </c>
      <c r="I19" s="6">
        <f t="shared" si="6"/>
        <v>-882.60166666666646</v>
      </c>
      <c r="J19" s="6">
        <f t="shared" si="6"/>
        <v>-882.60166666666646</v>
      </c>
      <c r="K19" s="6">
        <f t="shared" si="6"/>
        <v>-882.60166666666646</v>
      </c>
      <c r="L19" s="6">
        <f t="shared" si="6"/>
        <v>-882.60166666666646</v>
      </c>
      <c r="M19" s="6">
        <f t="shared" si="6"/>
        <v>-882.60166666666646</v>
      </c>
      <c r="N19" s="6">
        <f t="shared" si="6"/>
        <v>-882.60166666666646</v>
      </c>
      <c r="O19" s="6">
        <f t="shared" si="6"/>
        <v>-882.60166666666646</v>
      </c>
      <c r="P19" s="6">
        <f t="shared" si="6"/>
        <v>-882.60166666666646</v>
      </c>
      <c r="Q19" s="6">
        <f t="shared" si="6"/>
        <v>-882.60166666666646</v>
      </c>
      <c r="R19" s="6">
        <f t="shared" si="6"/>
        <v>1249.0650000000001</v>
      </c>
      <c r="S19" s="6">
        <f t="shared" si="6"/>
        <v>1249.0650000000001</v>
      </c>
      <c r="T19" s="6">
        <f t="shared" si="6"/>
        <v>1249.0650000000001</v>
      </c>
      <c r="U19" s="6">
        <f t="shared" si="6"/>
        <v>1249.0650000000001</v>
      </c>
      <c r="V19" s="6">
        <f t="shared" si="6"/>
        <v>1249.0650000000001</v>
      </c>
      <c r="W19" s="6">
        <f t="shared" si="6"/>
        <v>1249.0650000000001</v>
      </c>
      <c r="X19" s="6">
        <f t="shared" si="6"/>
        <v>1249.0650000000001</v>
      </c>
      <c r="Y19" s="6">
        <f t="shared" si="6"/>
        <v>1249.0650000000001</v>
      </c>
      <c r="Z19" s="6">
        <f t="shared" si="6"/>
        <v>1249.0650000000001</v>
      </c>
      <c r="AA19" s="6">
        <f t="shared" si="6"/>
        <v>1249.0650000000001</v>
      </c>
      <c r="AB19" s="6">
        <f t="shared" si="6"/>
        <v>1249.0650000000001</v>
      </c>
      <c r="AC19" s="6">
        <f t="shared" si="6"/>
        <v>1249.0650000000001</v>
      </c>
      <c r="AD19" s="6">
        <f t="shared" si="6"/>
        <v>1249.0650000000001</v>
      </c>
      <c r="AE19" s="6">
        <f t="shared" si="6"/>
        <v>1249.0650000000001</v>
      </c>
      <c r="AF19" s="6">
        <f t="shared" si="6"/>
        <v>1249.0650000000001</v>
      </c>
      <c r="AG19" s="6">
        <f t="shared" si="6"/>
        <v>1249.0650000000001</v>
      </c>
      <c r="AH19" s="6">
        <f t="shared" si="6"/>
        <v>1249.0650000000001</v>
      </c>
      <c r="AI19" s="6">
        <f t="shared" si="6"/>
        <v>1249.0650000000001</v>
      </c>
      <c r="AJ19" s="6">
        <f t="shared" si="6"/>
        <v>1249.0650000000001</v>
      </c>
      <c r="AK19" s="6">
        <f t="shared" si="6"/>
        <v>1249.0650000000001</v>
      </c>
      <c r="AL19" s="6">
        <f t="shared" si="6"/>
        <v>1249.0650000000001</v>
      </c>
      <c r="AM19" s="6">
        <f t="shared" si="6"/>
        <v>1249.0650000000001</v>
      </c>
      <c r="AN19" s="6">
        <f t="shared" si="6"/>
        <v>1249.0650000000001</v>
      </c>
      <c r="AO19" s="6">
        <f t="shared" si="6"/>
        <v>1249.0650000000001</v>
      </c>
      <c r="AP19" s="6">
        <f t="shared" si="6"/>
        <v>1249.0650000000001</v>
      </c>
      <c r="AQ19" s="6">
        <f t="shared" si="6"/>
        <v>0</v>
      </c>
      <c r="AR19" s="5"/>
    </row>
    <row r="20" spans="2:44" x14ac:dyDescent="0.25">
      <c r="B20" s="1" t="s">
        <v>4</v>
      </c>
      <c r="C20" s="5">
        <f t="shared" ref="C20:AQ20" si="7">C18-C19</f>
        <v>-2647.8049999999994</v>
      </c>
      <c r="D20" s="5">
        <f t="shared" si="7"/>
        <v>-2647.8049999999994</v>
      </c>
      <c r="E20" s="5">
        <f t="shared" si="7"/>
        <v>-2647.8049999999994</v>
      </c>
      <c r="F20" s="5">
        <f t="shared" si="7"/>
        <v>-2647.8049999999994</v>
      </c>
      <c r="G20" s="5">
        <f t="shared" si="7"/>
        <v>-2647.8049999999994</v>
      </c>
      <c r="H20" s="5">
        <f t="shared" si="7"/>
        <v>-2647.8049999999994</v>
      </c>
      <c r="I20" s="5">
        <f t="shared" si="7"/>
        <v>-2647.8049999999994</v>
      </c>
      <c r="J20" s="5">
        <f t="shared" si="7"/>
        <v>-2647.8049999999994</v>
      </c>
      <c r="K20" s="5">
        <f t="shared" si="7"/>
        <v>-2647.8049999999994</v>
      </c>
      <c r="L20" s="5">
        <f t="shared" si="7"/>
        <v>-2647.8049999999994</v>
      </c>
      <c r="M20" s="5">
        <f t="shared" si="7"/>
        <v>-2647.8049999999994</v>
      </c>
      <c r="N20" s="5">
        <f t="shared" si="7"/>
        <v>-2647.8049999999994</v>
      </c>
      <c r="O20" s="5">
        <f t="shared" si="7"/>
        <v>-2647.8049999999994</v>
      </c>
      <c r="P20" s="5">
        <f t="shared" si="7"/>
        <v>-2647.8049999999994</v>
      </c>
      <c r="Q20" s="5">
        <f t="shared" si="7"/>
        <v>-2647.8049999999994</v>
      </c>
      <c r="R20" s="5">
        <f t="shared" si="7"/>
        <v>3747.1950000000002</v>
      </c>
      <c r="S20" s="5">
        <f t="shared" si="7"/>
        <v>3747.1950000000002</v>
      </c>
      <c r="T20" s="5">
        <f t="shared" si="7"/>
        <v>3747.1950000000002</v>
      </c>
      <c r="U20" s="5">
        <f t="shared" si="7"/>
        <v>3747.1950000000002</v>
      </c>
      <c r="V20" s="5">
        <f t="shared" si="7"/>
        <v>3747.1950000000002</v>
      </c>
      <c r="W20" s="5">
        <f t="shared" si="7"/>
        <v>3747.1950000000002</v>
      </c>
      <c r="X20" s="5">
        <f t="shared" si="7"/>
        <v>3747.1950000000002</v>
      </c>
      <c r="Y20" s="5">
        <f t="shared" si="7"/>
        <v>3747.1950000000002</v>
      </c>
      <c r="Z20" s="5">
        <f t="shared" si="7"/>
        <v>3747.1950000000002</v>
      </c>
      <c r="AA20" s="5">
        <f t="shared" si="7"/>
        <v>3747.1950000000002</v>
      </c>
      <c r="AB20" s="5">
        <f t="shared" si="7"/>
        <v>3747.1950000000002</v>
      </c>
      <c r="AC20" s="5">
        <f t="shared" si="7"/>
        <v>3747.1950000000002</v>
      </c>
      <c r="AD20" s="5">
        <f t="shared" si="7"/>
        <v>3747.1950000000002</v>
      </c>
      <c r="AE20" s="5">
        <f t="shared" si="7"/>
        <v>3747.1950000000002</v>
      </c>
      <c r="AF20" s="5">
        <f t="shared" si="7"/>
        <v>3747.1950000000002</v>
      </c>
      <c r="AG20" s="5">
        <f t="shared" si="7"/>
        <v>3747.1950000000002</v>
      </c>
      <c r="AH20" s="5">
        <f t="shared" si="7"/>
        <v>3747.1950000000002</v>
      </c>
      <c r="AI20" s="5">
        <f t="shared" si="7"/>
        <v>3747.1950000000002</v>
      </c>
      <c r="AJ20" s="5">
        <f t="shared" si="7"/>
        <v>3747.1950000000002</v>
      </c>
      <c r="AK20" s="5">
        <f t="shared" si="7"/>
        <v>3747.1950000000002</v>
      </c>
      <c r="AL20" s="5">
        <f t="shared" si="7"/>
        <v>3747.1950000000002</v>
      </c>
      <c r="AM20" s="5">
        <f t="shared" si="7"/>
        <v>3747.1950000000002</v>
      </c>
      <c r="AN20" s="5">
        <f t="shared" si="7"/>
        <v>3747.1950000000002</v>
      </c>
      <c r="AO20" s="5">
        <f t="shared" si="7"/>
        <v>3747.1950000000002</v>
      </c>
      <c r="AP20" s="5">
        <f t="shared" si="7"/>
        <v>3747.1950000000002</v>
      </c>
      <c r="AQ20" s="5">
        <f t="shared" si="7"/>
        <v>0</v>
      </c>
      <c r="AR20" s="5"/>
    </row>
    <row r="21" spans="2:44" x14ac:dyDescent="0.25">
      <c r="B21" s="2" t="s">
        <v>136</v>
      </c>
      <c r="C21" s="6">
        <f>C15</f>
        <v>8526.6666666666661</v>
      </c>
      <c r="D21" s="6">
        <f>D15</f>
        <v>8526.6666666666661</v>
      </c>
      <c r="E21" s="6">
        <f>E15</f>
        <v>8526.6666666666661</v>
      </c>
      <c r="F21" s="6">
        <f>F15</f>
        <v>8526.6666666666661</v>
      </c>
      <c r="G21" s="6">
        <f>G15</f>
        <v>8526.6666666666661</v>
      </c>
      <c r="H21" s="6">
        <f t="shared" ref="H21:AQ21" si="8">H15</f>
        <v>8526.6666666666661</v>
      </c>
      <c r="I21" s="6">
        <f t="shared" si="8"/>
        <v>8526.6666666666661</v>
      </c>
      <c r="J21" s="6">
        <f t="shared" si="8"/>
        <v>8526.6666666666661</v>
      </c>
      <c r="K21" s="6">
        <f t="shared" si="8"/>
        <v>8526.6666666666661</v>
      </c>
      <c r="L21" s="6">
        <f t="shared" si="8"/>
        <v>8526.6666666666661</v>
      </c>
      <c r="M21" s="6">
        <f t="shared" si="8"/>
        <v>8526.6666666666661</v>
      </c>
      <c r="N21" s="6">
        <f t="shared" si="8"/>
        <v>8526.6666666666661</v>
      </c>
      <c r="O21" s="6">
        <f t="shared" si="8"/>
        <v>8526.6666666666661</v>
      </c>
      <c r="P21" s="6">
        <f t="shared" si="8"/>
        <v>8526.6666666666661</v>
      </c>
      <c r="Q21" s="6">
        <f t="shared" si="8"/>
        <v>8526.6666666666661</v>
      </c>
      <c r="R21" s="6">
        <f t="shared" si="8"/>
        <v>0</v>
      </c>
      <c r="S21" s="6">
        <f t="shared" si="8"/>
        <v>0</v>
      </c>
      <c r="T21" s="6">
        <f t="shared" si="8"/>
        <v>0</v>
      </c>
      <c r="U21" s="6">
        <f t="shared" si="8"/>
        <v>0</v>
      </c>
      <c r="V21" s="6">
        <f t="shared" si="8"/>
        <v>0</v>
      </c>
      <c r="W21" s="6">
        <f t="shared" si="8"/>
        <v>0</v>
      </c>
      <c r="X21" s="6">
        <f t="shared" si="8"/>
        <v>0</v>
      </c>
      <c r="Y21" s="6">
        <f t="shared" si="8"/>
        <v>0</v>
      </c>
      <c r="Z21" s="6">
        <f t="shared" si="8"/>
        <v>0</v>
      </c>
      <c r="AA21" s="6">
        <f t="shared" si="8"/>
        <v>0</v>
      </c>
      <c r="AB21" s="6">
        <f t="shared" si="8"/>
        <v>0</v>
      </c>
      <c r="AC21" s="6">
        <f t="shared" si="8"/>
        <v>0</v>
      </c>
      <c r="AD21" s="6">
        <f t="shared" si="8"/>
        <v>0</v>
      </c>
      <c r="AE21" s="6">
        <f t="shared" si="8"/>
        <v>0</v>
      </c>
      <c r="AF21" s="6">
        <f t="shared" si="8"/>
        <v>0</v>
      </c>
      <c r="AG21" s="6">
        <f t="shared" si="8"/>
        <v>0</v>
      </c>
      <c r="AH21" s="6">
        <f t="shared" si="8"/>
        <v>0</v>
      </c>
      <c r="AI21" s="6">
        <f t="shared" si="8"/>
        <v>0</v>
      </c>
      <c r="AJ21" s="6">
        <f t="shared" si="8"/>
        <v>0</v>
      </c>
      <c r="AK21" s="6">
        <f t="shared" si="8"/>
        <v>0</v>
      </c>
      <c r="AL21" s="6">
        <f t="shared" si="8"/>
        <v>0</v>
      </c>
      <c r="AM21" s="6">
        <f t="shared" si="8"/>
        <v>0</v>
      </c>
      <c r="AN21" s="6">
        <f t="shared" si="8"/>
        <v>0</v>
      </c>
      <c r="AO21" s="6">
        <f t="shared" si="8"/>
        <v>0</v>
      </c>
      <c r="AP21" s="6">
        <f t="shared" si="8"/>
        <v>0</v>
      </c>
      <c r="AQ21" s="6">
        <f t="shared" si="8"/>
        <v>0</v>
      </c>
      <c r="AR21" s="5"/>
    </row>
    <row r="22" spans="2:44" x14ac:dyDescent="0.25">
      <c r="B22" s="2" t="s">
        <v>45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/>
      <c r="S22" s="6"/>
      <c r="T22" s="6"/>
      <c r="U22" s="6"/>
      <c r="V22" s="6"/>
      <c r="W22" s="6"/>
      <c r="X22" s="6"/>
      <c r="Y22" s="6"/>
      <c r="Z22" s="6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2:44" x14ac:dyDescent="0.25">
      <c r="B23" s="39" t="s">
        <v>137</v>
      </c>
      <c r="C23" s="6">
        <v>2600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2:44" x14ac:dyDescent="0.25">
      <c r="B24" s="2" t="s">
        <v>33</v>
      </c>
      <c r="C24" s="6">
        <f>C29*0.5</f>
        <v>63950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2:44" x14ac:dyDescent="0.25">
      <c r="B25" s="1" t="s">
        <v>5</v>
      </c>
      <c r="C25" s="5">
        <f t="shared" ref="C25:H25" si="9">C20+SUM(C21:C24)</f>
        <v>72428.861666666679</v>
      </c>
      <c r="D25" s="5">
        <f t="shared" si="9"/>
        <v>5878.8616666666667</v>
      </c>
      <c r="E25" s="5">
        <f t="shared" si="9"/>
        <v>5878.8616666666667</v>
      </c>
      <c r="F25" s="5">
        <f t="shared" si="9"/>
        <v>5878.8616666666667</v>
      </c>
      <c r="G25" s="5">
        <f t="shared" si="9"/>
        <v>5878.8616666666667</v>
      </c>
      <c r="H25" s="5">
        <f t="shared" si="9"/>
        <v>5878.8616666666667</v>
      </c>
      <c r="I25" s="5">
        <f t="shared" ref="I25:AQ25" si="10">I20+SUM(I21:I24)</f>
        <v>5878.8616666666667</v>
      </c>
      <c r="J25" s="5">
        <f t="shared" si="10"/>
        <v>5878.8616666666667</v>
      </c>
      <c r="K25" s="5">
        <f t="shared" si="10"/>
        <v>5878.8616666666667</v>
      </c>
      <c r="L25" s="5">
        <f t="shared" si="10"/>
        <v>5878.8616666666667</v>
      </c>
      <c r="M25" s="5">
        <f t="shared" si="10"/>
        <v>5878.8616666666667</v>
      </c>
      <c r="N25" s="5">
        <f t="shared" si="10"/>
        <v>5878.8616666666667</v>
      </c>
      <c r="O25" s="5">
        <f t="shared" si="10"/>
        <v>5878.8616666666667</v>
      </c>
      <c r="P25" s="5">
        <f t="shared" si="10"/>
        <v>5878.8616666666667</v>
      </c>
      <c r="Q25" s="5">
        <f t="shared" si="10"/>
        <v>5878.8616666666667</v>
      </c>
      <c r="R25" s="5">
        <f t="shared" si="10"/>
        <v>3747.1950000000002</v>
      </c>
      <c r="S25" s="5">
        <f t="shared" si="10"/>
        <v>3747.1950000000002</v>
      </c>
      <c r="T25" s="5">
        <f t="shared" si="10"/>
        <v>3747.1950000000002</v>
      </c>
      <c r="U25" s="5">
        <f t="shared" si="10"/>
        <v>3747.1950000000002</v>
      </c>
      <c r="V25" s="5">
        <f t="shared" si="10"/>
        <v>3747.1950000000002</v>
      </c>
      <c r="W25" s="5">
        <f t="shared" si="10"/>
        <v>3747.1950000000002</v>
      </c>
      <c r="X25" s="5">
        <f t="shared" si="10"/>
        <v>3747.1950000000002</v>
      </c>
      <c r="Y25" s="5">
        <f t="shared" si="10"/>
        <v>3747.1950000000002</v>
      </c>
      <c r="Z25" s="5">
        <f t="shared" si="10"/>
        <v>3747.1950000000002</v>
      </c>
      <c r="AA25" s="5">
        <f t="shared" si="10"/>
        <v>3747.1950000000002</v>
      </c>
      <c r="AB25" s="5">
        <f t="shared" si="10"/>
        <v>3747.1950000000002</v>
      </c>
      <c r="AC25" s="5">
        <f t="shared" si="10"/>
        <v>3747.1950000000002</v>
      </c>
      <c r="AD25" s="5">
        <f t="shared" si="10"/>
        <v>3747.1950000000002</v>
      </c>
      <c r="AE25" s="5">
        <f t="shared" si="10"/>
        <v>3747.1950000000002</v>
      </c>
      <c r="AF25" s="5">
        <f t="shared" si="10"/>
        <v>3747.1950000000002</v>
      </c>
      <c r="AG25" s="5">
        <f t="shared" si="10"/>
        <v>3747.1950000000002</v>
      </c>
      <c r="AH25" s="5">
        <f t="shared" si="10"/>
        <v>3747.1950000000002</v>
      </c>
      <c r="AI25" s="5">
        <f t="shared" si="10"/>
        <v>3747.1950000000002</v>
      </c>
      <c r="AJ25" s="5">
        <f t="shared" si="10"/>
        <v>3747.1950000000002</v>
      </c>
      <c r="AK25" s="5">
        <f t="shared" si="10"/>
        <v>3747.1950000000002</v>
      </c>
      <c r="AL25" s="5">
        <f t="shared" si="10"/>
        <v>3747.1950000000002</v>
      </c>
      <c r="AM25" s="5">
        <f t="shared" si="10"/>
        <v>3747.1950000000002</v>
      </c>
      <c r="AN25" s="5">
        <f t="shared" si="10"/>
        <v>3747.1950000000002</v>
      </c>
      <c r="AO25" s="5">
        <f t="shared" si="10"/>
        <v>3747.1950000000002</v>
      </c>
      <c r="AP25" s="5">
        <f t="shared" si="10"/>
        <v>3747.1950000000002</v>
      </c>
      <c r="AQ25" s="5">
        <f t="shared" si="10"/>
        <v>0</v>
      </c>
      <c r="AR25" s="5"/>
    </row>
    <row r="26" spans="2:44" x14ac:dyDescent="0.25"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2:44" s="113" customFormat="1" x14ac:dyDescent="0.25">
      <c r="B27" s="114" t="s">
        <v>27</v>
      </c>
      <c r="C27" s="114"/>
      <c r="D27" s="114" t="s">
        <v>44</v>
      </c>
      <c r="E27" s="90" t="s">
        <v>0</v>
      </c>
      <c r="F27" s="90" t="s">
        <v>226</v>
      </c>
      <c r="G27" s="90" t="s">
        <v>227</v>
      </c>
      <c r="H27" s="90" t="s">
        <v>228</v>
      </c>
      <c r="I27" s="90" t="s">
        <v>229</v>
      </c>
      <c r="J27" s="90" t="s">
        <v>230</v>
      </c>
      <c r="K27" s="90" t="s">
        <v>231</v>
      </c>
      <c r="L27" s="90" t="s">
        <v>232</v>
      </c>
      <c r="M27" s="90" t="s">
        <v>233</v>
      </c>
      <c r="N27" s="90" t="s">
        <v>234</v>
      </c>
      <c r="O27" s="90" t="s">
        <v>235</v>
      </c>
      <c r="P27" s="90" t="s">
        <v>236</v>
      </c>
      <c r="Q27" s="90" t="s">
        <v>237</v>
      </c>
      <c r="R27" s="90" t="s">
        <v>238</v>
      </c>
      <c r="S27" s="90" t="s">
        <v>239</v>
      </c>
      <c r="T27" s="90" t="s">
        <v>240</v>
      </c>
      <c r="U27" s="90" t="s">
        <v>241</v>
      </c>
      <c r="V27" s="90" t="s">
        <v>242</v>
      </c>
      <c r="W27" s="90" t="s">
        <v>243</v>
      </c>
      <c r="X27" s="90" t="s">
        <v>244</v>
      </c>
      <c r="Y27" s="90" t="s">
        <v>245</v>
      </c>
      <c r="Z27" s="90" t="s">
        <v>246</v>
      </c>
      <c r="AA27" s="90" t="s">
        <v>247</v>
      </c>
      <c r="AB27" s="90" t="s">
        <v>248</v>
      </c>
      <c r="AC27" s="90" t="s">
        <v>249</v>
      </c>
      <c r="AD27" s="90" t="s">
        <v>250</v>
      </c>
      <c r="AE27" s="90" t="s">
        <v>251</v>
      </c>
      <c r="AF27" s="90" t="s">
        <v>252</v>
      </c>
      <c r="AG27" s="90" t="s">
        <v>253</v>
      </c>
      <c r="AH27" s="90" t="s">
        <v>254</v>
      </c>
      <c r="AI27" s="90" t="s">
        <v>255</v>
      </c>
      <c r="AJ27" s="90" t="s">
        <v>256</v>
      </c>
      <c r="AK27" s="90" t="s">
        <v>257</v>
      </c>
      <c r="AL27" s="90" t="s">
        <v>258</v>
      </c>
      <c r="AM27" s="90" t="s">
        <v>259</v>
      </c>
      <c r="AN27" s="90" t="s">
        <v>260</v>
      </c>
      <c r="AO27" s="90" t="s">
        <v>261</v>
      </c>
      <c r="AP27" s="90" t="s">
        <v>262</v>
      </c>
      <c r="AQ27" s="90" t="s">
        <v>263</v>
      </c>
      <c r="AR27" s="90" t="s">
        <v>264</v>
      </c>
    </row>
    <row r="28" spans="2:44" x14ac:dyDescent="0.25">
      <c r="B28" s="7" t="s">
        <v>7</v>
      </c>
      <c r="C28" s="8">
        <f>SUM(C25:AP25)</f>
        <v>248412.80000000016</v>
      </c>
      <c r="D28" s="6" t="s">
        <v>29</v>
      </c>
      <c r="E28" s="10">
        <f>C25-C29</f>
        <v>-55471.138333333321</v>
      </c>
      <c r="F28" s="10">
        <f>E28+D25</f>
        <v>-49592.276666666658</v>
      </c>
      <c r="G28" s="10">
        <f t="shared" ref="G28:AR28" si="11">F28+E25</f>
        <v>-43713.414999999994</v>
      </c>
      <c r="H28" s="10">
        <f t="shared" si="11"/>
        <v>-37834.55333333333</v>
      </c>
      <c r="I28" s="10">
        <f t="shared" si="11"/>
        <v>-31955.691666666662</v>
      </c>
      <c r="J28" s="10">
        <f t="shared" si="11"/>
        <v>-26076.829999999994</v>
      </c>
      <c r="K28" s="10">
        <f t="shared" si="11"/>
        <v>-20197.968333333327</v>
      </c>
      <c r="L28" s="10">
        <f t="shared" si="11"/>
        <v>-14319.106666666659</v>
      </c>
      <c r="M28" s="10">
        <f t="shared" si="11"/>
        <v>-8440.2449999999917</v>
      </c>
      <c r="N28" s="10">
        <f t="shared" si="11"/>
        <v>-2561.383333333325</v>
      </c>
      <c r="O28" s="10">
        <f t="shared" si="11"/>
        <v>3317.4783333333417</v>
      </c>
      <c r="P28" s="10">
        <f t="shared" si="11"/>
        <v>9196.3400000000074</v>
      </c>
      <c r="Q28" s="10">
        <f t="shared" si="11"/>
        <v>15075.201666666675</v>
      </c>
      <c r="R28" s="10">
        <f t="shared" si="11"/>
        <v>20954.063333333343</v>
      </c>
      <c r="S28" s="10">
        <f t="shared" si="11"/>
        <v>26832.92500000001</v>
      </c>
      <c r="T28" s="10">
        <f t="shared" si="11"/>
        <v>30580.12000000001</v>
      </c>
      <c r="U28" s="10">
        <f t="shared" si="11"/>
        <v>34327.31500000001</v>
      </c>
      <c r="V28" s="10">
        <f t="shared" si="11"/>
        <v>38074.510000000009</v>
      </c>
      <c r="W28" s="10">
        <f t="shared" si="11"/>
        <v>41821.705000000009</v>
      </c>
      <c r="X28" s="10">
        <f t="shared" si="11"/>
        <v>45568.900000000009</v>
      </c>
      <c r="Y28" s="10">
        <f t="shared" si="11"/>
        <v>49316.095000000008</v>
      </c>
      <c r="Z28" s="10">
        <f t="shared" si="11"/>
        <v>53063.290000000008</v>
      </c>
      <c r="AA28" s="10">
        <f t="shared" si="11"/>
        <v>56810.485000000008</v>
      </c>
      <c r="AB28" s="10">
        <f t="shared" si="11"/>
        <v>60557.680000000008</v>
      </c>
      <c r="AC28" s="10">
        <f t="shared" si="11"/>
        <v>64304.875000000007</v>
      </c>
      <c r="AD28" s="10">
        <f t="shared" si="11"/>
        <v>68052.070000000007</v>
      </c>
      <c r="AE28" s="10">
        <f t="shared" si="11"/>
        <v>71799.265000000014</v>
      </c>
      <c r="AF28" s="10">
        <f t="shared" si="11"/>
        <v>75546.460000000021</v>
      </c>
      <c r="AG28" s="10">
        <f t="shared" si="11"/>
        <v>79293.655000000028</v>
      </c>
      <c r="AH28" s="10">
        <f t="shared" si="11"/>
        <v>83040.850000000035</v>
      </c>
      <c r="AI28" s="10">
        <f t="shared" si="11"/>
        <v>86788.045000000042</v>
      </c>
      <c r="AJ28" s="10">
        <f t="shared" si="11"/>
        <v>90535.240000000049</v>
      </c>
      <c r="AK28" s="10">
        <f t="shared" si="11"/>
        <v>94282.435000000056</v>
      </c>
      <c r="AL28" s="10">
        <f t="shared" si="11"/>
        <v>98029.630000000063</v>
      </c>
      <c r="AM28" s="10">
        <f t="shared" si="11"/>
        <v>101776.82500000007</v>
      </c>
      <c r="AN28" s="10">
        <f t="shared" si="11"/>
        <v>105524.02000000008</v>
      </c>
      <c r="AO28" s="10">
        <f t="shared" si="11"/>
        <v>109271.21500000008</v>
      </c>
      <c r="AP28" s="10">
        <f t="shared" si="11"/>
        <v>113018.41000000009</v>
      </c>
      <c r="AQ28" s="10">
        <f t="shared" si="11"/>
        <v>116765.6050000001</v>
      </c>
      <c r="AR28" s="10">
        <f t="shared" si="11"/>
        <v>120512.8000000001</v>
      </c>
    </row>
    <row r="29" spans="2:44" x14ac:dyDescent="0.25">
      <c r="B29" s="7" t="s">
        <v>32</v>
      </c>
      <c r="C29" s="8">
        <v>127900</v>
      </c>
      <c r="D29" s="5"/>
      <c r="G29" t="s">
        <v>195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44" x14ac:dyDescent="0.25">
      <c r="B30" s="7" t="s">
        <v>18</v>
      </c>
      <c r="C30" s="8"/>
      <c r="D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44" x14ac:dyDescent="0.25">
      <c r="B31" s="7" t="s">
        <v>8</v>
      </c>
      <c r="C31" s="8">
        <f>C28-C29</f>
        <v>120512.80000000016</v>
      </c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44" x14ac:dyDescent="0.25">
      <c r="B32" s="29" t="s">
        <v>10</v>
      </c>
      <c r="C32" s="15">
        <f>C31/C29*100%</f>
        <v>0.94224237685692069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44" x14ac:dyDescent="0.25">
      <c r="B33" s="6"/>
      <c r="C33" s="5"/>
      <c r="D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44" x14ac:dyDescent="0.25">
      <c r="B34" t="s">
        <v>31</v>
      </c>
      <c r="C34" s="4">
        <v>0.05</v>
      </c>
      <c r="D34" s="6"/>
      <c r="E34" s="6"/>
    </row>
    <row r="35" spans="2:44" x14ac:dyDescent="0.25">
      <c r="B35" s="1" t="s">
        <v>6</v>
      </c>
      <c r="C35" s="5">
        <f>C25/(1+$C34)</f>
        <v>68979.868253968263</v>
      </c>
      <c r="D35" s="5">
        <f>D25/(1+$C34)^2</f>
        <v>5332.3008314436884</v>
      </c>
      <c r="E35" s="5">
        <f>E25/(1+$C34)^3</f>
        <v>5078.3817442320842</v>
      </c>
      <c r="F35" s="5">
        <f>F25/(1+$C34)^4</f>
        <v>4836.5540421257947</v>
      </c>
      <c r="G35" s="5">
        <f>G25/(1+$C34)^5</f>
        <v>4606.2419448817091</v>
      </c>
      <c r="H35" s="5">
        <f>H25/(1+$C34)^6</f>
        <v>4386.8970903635327</v>
      </c>
      <c r="I35" s="5">
        <f>I25/(1+$C34)^7</f>
        <v>4177.9972289176494</v>
      </c>
      <c r="J35" s="5">
        <f>J25/(1+$C34)^8</f>
        <v>3979.0449799215712</v>
      </c>
      <c r="K35" s="5">
        <f>K25/(1+$C34)^9</f>
        <v>3789.5666475443536</v>
      </c>
      <c r="L35" s="5">
        <f>L25/(1+$C34)^10</f>
        <v>3609.1110928993844</v>
      </c>
      <c r="M35" s="5">
        <f>M25/(1+$C34)^11</f>
        <v>3437.2486599041754</v>
      </c>
      <c r="N35" s="5">
        <f>N25/(1+$C34)^12</f>
        <v>3273.5701522896911</v>
      </c>
      <c r="O35" s="5">
        <f>O25/(1+$C34)^13</f>
        <v>3117.6858593235147</v>
      </c>
      <c r="P35" s="5">
        <f>P25/(1+$C34)^14</f>
        <v>2969.2246279271576</v>
      </c>
      <c r="Q35" s="5">
        <f>Q25/(1+$C34)^15</f>
        <v>2827.8329789782447</v>
      </c>
      <c r="R35" s="5">
        <f>R25/(1+$C34)^16</f>
        <v>1716.633204648565</v>
      </c>
      <c r="S35" s="5">
        <f>S25/(1+$C34)^17</f>
        <v>1634.8887663319665</v>
      </c>
      <c r="T35" s="5">
        <f>T25/(1+$C34)^18</f>
        <v>1557.0369203161586</v>
      </c>
      <c r="U35" s="5">
        <f>U25/(1+$C34)^19</f>
        <v>1482.8923050630081</v>
      </c>
      <c r="V35" s="5">
        <f>V25/(1+$C34)^20</f>
        <v>1412.2783857742936</v>
      </c>
      <c r="W35" s="5">
        <f>W25/(1+$C34)^21</f>
        <v>1345.0270340707557</v>
      </c>
      <c r="X35" s="5">
        <f>X25/(1+$C34)^22</f>
        <v>1280.9781276864342</v>
      </c>
      <c r="Y35" s="5">
        <f>Y25/(1+$C34)^23</f>
        <v>1219.9791692251752</v>
      </c>
      <c r="Z35" s="5">
        <f>Z25/(1+$C34)^24</f>
        <v>1161.8849230715955</v>
      </c>
      <c r="AA35" s="5">
        <f>AA25/(1+$C34)^25</f>
        <v>1106.5570695919957</v>
      </c>
      <c r="AB35" s="5">
        <f>AB25/(1+$C34)^26</f>
        <v>1053.8638758019006</v>
      </c>
      <c r="AC35" s="5">
        <f>AC25/(1+$C34)^27</f>
        <v>1003.6798817160958</v>
      </c>
      <c r="AD35" s="5">
        <f>AD25/(1+$C34)^28</f>
        <v>955.88560163437705</v>
      </c>
      <c r="AE35" s="5">
        <f>AE25/(1+$C34)^29</f>
        <v>910.36723965178749</v>
      </c>
      <c r="AF35" s="5">
        <f>AF25/(1+$C34)^30</f>
        <v>867.01641871598838</v>
      </c>
      <c r="AG35" s="5">
        <f>AG25/(1+$C34)^31</f>
        <v>825.72992258665533</v>
      </c>
      <c r="AH35" s="5">
        <f>AH25/(1+$C34)^32</f>
        <v>786.40945008252891</v>
      </c>
      <c r="AI35" s="5">
        <f>AI25/(1+$C34)^33</f>
        <v>748.96138103097985</v>
      </c>
      <c r="AJ35" s="5">
        <f>AJ25/(1+$C34)^34</f>
        <v>713.29655336283804</v>
      </c>
      <c r="AK35" s="5">
        <f>AK25/(1+$C34)^35</f>
        <v>679.33005082175043</v>
      </c>
      <c r="AL35" s="5">
        <f>AL25/(1+$C34)^36</f>
        <v>646.9810007826195</v>
      </c>
      <c r="AM35" s="5">
        <f>AM25/(1+$C34)^37</f>
        <v>616.17238169773282</v>
      </c>
      <c r="AN35" s="5">
        <f>AN25/(1+$C34)^38</f>
        <v>586.83083971212659</v>
      </c>
      <c r="AO35" s="5">
        <f>AO25/(1+$C34)^39</f>
        <v>558.88651401154902</v>
      </c>
      <c r="AP35" s="5">
        <f>AP25/(1+$C34)^40</f>
        <v>532.27287048718961</v>
      </c>
      <c r="AQ35" s="5">
        <f>AQ25/(1+$C34)^41</f>
        <v>0</v>
      </c>
    </row>
    <row r="36" spans="2:44" x14ac:dyDescent="0.25">
      <c r="B36" s="1"/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44" s="113" customFormat="1" x14ac:dyDescent="0.25">
      <c r="B37" s="123" t="s">
        <v>28</v>
      </c>
      <c r="C37" s="126"/>
      <c r="D37" s="127" t="s">
        <v>44</v>
      </c>
      <c r="E37" s="91" t="s">
        <v>0</v>
      </c>
      <c r="F37" s="91" t="s">
        <v>226</v>
      </c>
      <c r="G37" s="91" t="s">
        <v>227</v>
      </c>
      <c r="H37" s="91" t="s">
        <v>228</v>
      </c>
      <c r="I37" s="91" t="s">
        <v>229</v>
      </c>
      <c r="J37" s="91" t="s">
        <v>230</v>
      </c>
      <c r="K37" s="91" t="s">
        <v>231</v>
      </c>
      <c r="L37" s="91" t="s">
        <v>232</v>
      </c>
      <c r="M37" s="91" t="s">
        <v>233</v>
      </c>
      <c r="N37" s="91" t="s">
        <v>234</v>
      </c>
      <c r="O37" s="91" t="s">
        <v>235</v>
      </c>
      <c r="P37" s="91" t="s">
        <v>236</v>
      </c>
      <c r="Q37" s="91" t="s">
        <v>237</v>
      </c>
      <c r="R37" s="91" t="s">
        <v>238</v>
      </c>
      <c r="S37" s="91" t="s">
        <v>239</v>
      </c>
      <c r="T37" s="91" t="s">
        <v>240</v>
      </c>
      <c r="U37" s="91" t="s">
        <v>241</v>
      </c>
      <c r="V37" s="91" t="s">
        <v>242</v>
      </c>
      <c r="W37" s="91" t="s">
        <v>243</v>
      </c>
      <c r="X37" s="91" t="s">
        <v>244</v>
      </c>
      <c r="Y37" s="91" t="s">
        <v>245</v>
      </c>
      <c r="Z37" s="91" t="s">
        <v>246</v>
      </c>
      <c r="AA37" s="91" t="s">
        <v>247</v>
      </c>
      <c r="AB37" s="91" t="s">
        <v>248</v>
      </c>
      <c r="AC37" s="91" t="s">
        <v>249</v>
      </c>
      <c r="AD37" s="91" t="s">
        <v>250</v>
      </c>
      <c r="AE37" s="91" t="s">
        <v>251</v>
      </c>
      <c r="AF37" s="91" t="s">
        <v>252</v>
      </c>
      <c r="AG37" s="91" t="s">
        <v>253</v>
      </c>
      <c r="AH37" s="91" t="s">
        <v>254</v>
      </c>
      <c r="AI37" s="91" t="s">
        <v>255</v>
      </c>
      <c r="AJ37" s="91" t="s">
        <v>256</v>
      </c>
      <c r="AK37" s="91" t="s">
        <v>257</v>
      </c>
      <c r="AL37" s="91" t="s">
        <v>258</v>
      </c>
      <c r="AM37" s="91" t="s">
        <v>259</v>
      </c>
      <c r="AN37" s="91" t="s">
        <v>260</v>
      </c>
      <c r="AO37" s="91" t="s">
        <v>261</v>
      </c>
      <c r="AP37" s="91" t="s">
        <v>262</v>
      </c>
      <c r="AQ37" s="91" t="s">
        <v>263</v>
      </c>
      <c r="AR37" s="91" t="s">
        <v>264</v>
      </c>
    </row>
    <row r="38" spans="2:44" x14ac:dyDescent="0.25">
      <c r="B38" s="7" t="s">
        <v>15</v>
      </c>
      <c r="C38" s="8">
        <f>SUM(C35:AP35)</f>
        <v>149805.36602259681</v>
      </c>
      <c r="D38" s="6" t="s">
        <v>30</v>
      </c>
      <c r="E38" s="10">
        <f>C35-C39</f>
        <v>-58920.131746031737</v>
      </c>
      <c r="F38" s="10">
        <f>E38+D35</f>
        <v>-53587.830914588048</v>
      </c>
      <c r="G38" s="10">
        <f t="shared" ref="G38:AR38" si="12">F38+E35</f>
        <v>-48509.449170355962</v>
      </c>
      <c r="H38" s="10">
        <f t="shared" si="12"/>
        <v>-43672.895128230164</v>
      </c>
      <c r="I38" s="10">
        <f t="shared" si="12"/>
        <v>-39066.653183348455</v>
      </c>
      <c r="J38" s="10">
        <f t="shared" si="12"/>
        <v>-34679.756092984921</v>
      </c>
      <c r="K38" s="10">
        <f t="shared" si="12"/>
        <v>-30501.758864067269</v>
      </c>
      <c r="L38" s="10">
        <f t="shared" si="12"/>
        <v>-26522.713884145698</v>
      </c>
      <c r="M38" s="10">
        <f t="shared" si="12"/>
        <v>-22733.147236601344</v>
      </c>
      <c r="N38" s="10">
        <f t="shared" si="12"/>
        <v>-19124.03614370196</v>
      </c>
      <c r="O38" s="10">
        <f t="shared" si="12"/>
        <v>-15686.787483797785</v>
      </c>
      <c r="P38" s="10">
        <f t="shared" si="12"/>
        <v>-12413.217331508095</v>
      </c>
      <c r="Q38" s="10">
        <f t="shared" si="12"/>
        <v>-9295.5314721845789</v>
      </c>
      <c r="R38" s="10">
        <f t="shared" si="12"/>
        <v>-6326.3068442574213</v>
      </c>
      <c r="S38" s="10">
        <f t="shared" si="12"/>
        <v>-3498.4738652791766</v>
      </c>
      <c r="T38" s="10">
        <f t="shared" si="12"/>
        <v>-1781.8406606306116</v>
      </c>
      <c r="U38" s="10">
        <f t="shared" si="12"/>
        <v>-146.95189429864513</v>
      </c>
      <c r="V38" s="10">
        <f t="shared" si="12"/>
        <v>1410.0850260175134</v>
      </c>
      <c r="W38" s="10">
        <f t="shared" si="12"/>
        <v>2892.9773310805213</v>
      </c>
      <c r="X38" s="10">
        <f t="shared" si="12"/>
        <v>4305.2557168548146</v>
      </c>
      <c r="Y38" s="10">
        <f t="shared" si="12"/>
        <v>5650.2827509255703</v>
      </c>
      <c r="Z38" s="10">
        <f t="shared" si="12"/>
        <v>6931.2608786120045</v>
      </c>
      <c r="AA38" s="10">
        <f t="shared" si="12"/>
        <v>8151.2400478371801</v>
      </c>
      <c r="AB38" s="10">
        <f t="shared" si="12"/>
        <v>9313.1249709087751</v>
      </c>
      <c r="AC38" s="10">
        <f t="shared" si="12"/>
        <v>10419.682040500771</v>
      </c>
      <c r="AD38" s="10">
        <f t="shared" si="12"/>
        <v>11473.545916302672</v>
      </c>
      <c r="AE38" s="10">
        <f t="shared" si="12"/>
        <v>12477.225798018768</v>
      </c>
      <c r="AF38" s="10">
        <f t="shared" si="12"/>
        <v>13433.111399653146</v>
      </c>
      <c r="AG38" s="10">
        <f t="shared" si="12"/>
        <v>14343.478639304933</v>
      </c>
      <c r="AH38" s="10">
        <f t="shared" si="12"/>
        <v>15210.495058020921</v>
      </c>
      <c r="AI38" s="10">
        <f t="shared" si="12"/>
        <v>16036.224980607576</v>
      </c>
      <c r="AJ38" s="10">
        <f t="shared" si="12"/>
        <v>16822.634430690105</v>
      </c>
      <c r="AK38" s="10">
        <f t="shared" si="12"/>
        <v>17571.595811721083</v>
      </c>
      <c r="AL38" s="10">
        <f t="shared" si="12"/>
        <v>18284.892365083921</v>
      </c>
      <c r="AM38" s="10">
        <f t="shared" si="12"/>
        <v>18964.222415905671</v>
      </c>
      <c r="AN38" s="10">
        <f t="shared" si="12"/>
        <v>19611.203416688291</v>
      </c>
      <c r="AO38" s="10">
        <f t="shared" si="12"/>
        <v>20227.375798386023</v>
      </c>
      <c r="AP38" s="10">
        <f t="shared" si="12"/>
        <v>20814.206638098149</v>
      </c>
      <c r="AQ38" s="10">
        <f t="shared" si="12"/>
        <v>21373.093152109697</v>
      </c>
      <c r="AR38" s="10">
        <f t="shared" si="12"/>
        <v>21905.366022596885</v>
      </c>
    </row>
    <row r="39" spans="2:44" x14ac:dyDescent="0.25">
      <c r="B39" s="7" t="s">
        <v>17</v>
      </c>
      <c r="C39" s="8">
        <f>C29</f>
        <v>127900</v>
      </c>
      <c r="D39" s="6"/>
      <c r="G39" t="s">
        <v>196</v>
      </c>
    </row>
    <row r="40" spans="2:44" x14ac:dyDescent="0.25">
      <c r="B40" s="7" t="s">
        <v>18</v>
      </c>
      <c r="C40" s="8"/>
      <c r="D40" s="6"/>
    </row>
    <row r="41" spans="2:44" x14ac:dyDescent="0.25">
      <c r="B41" s="7" t="s">
        <v>14</v>
      </c>
      <c r="C41" s="8">
        <f>C38-C39</f>
        <v>21905.366022596805</v>
      </c>
      <c r="D41" s="6"/>
    </row>
    <row r="42" spans="2:44" x14ac:dyDescent="0.25">
      <c r="B42" s="29" t="s">
        <v>9</v>
      </c>
      <c r="C42" s="15">
        <f>(C41/C39)*100%</f>
        <v>0.17126947632992029</v>
      </c>
      <c r="D42" s="5" t="s">
        <v>183</v>
      </c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44" ht="15.75" thickBot="1" x14ac:dyDescent="0.3">
      <c r="E43" s="10"/>
    </row>
    <row r="44" spans="2:44" x14ac:dyDescent="0.25">
      <c r="B44" s="83" t="s">
        <v>155</v>
      </c>
      <c r="C44" s="88"/>
      <c r="F44" s="2"/>
    </row>
    <row r="45" spans="2:44" x14ac:dyDescent="0.25">
      <c r="B45" s="42" t="s">
        <v>151</v>
      </c>
      <c r="C45" s="43" t="s">
        <v>271</v>
      </c>
      <c r="F45" s="2"/>
    </row>
    <row r="46" spans="2:44" x14ac:dyDescent="0.25">
      <c r="B46" s="42" t="s">
        <v>152</v>
      </c>
      <c r="C46" s="43" t="s">
        <v>157</v>
      </c>
    </row>
    <row r="47" spans="2:44" x14ac:dyDescent="0.25">
      <c r="B47" s="42"/>
      <c r="C47" s="45"/>
    </row>
    <row r="48" spans="2:44" x14ac:dyDescent="0.25">
      <c r="B48" s="84" t="s">
        <v>156</v>
      </c>
      <c r="C48" s="108"/>
    </row>
    <row r="49" spans="2:3" x14ac:dyDescent="0.25">
      <c r="B49" s="42" t="s">
        <v>153</v>
      </c>
      <c r="C49" s="43" t="s">
        <v>220</v>
      </c>
    </row>
    <row r="50" spans="2:3" ht="15.75" thickBot="1" x14ac:dyDescent="0.3">
      <c r="B50" s="46" t="s">
        <v>154</v>
      </c>
      <c r="C50" s="47" t="s">
        <v>194</v>
      </c>
    </row>
  </sheetData>
  <phoneticPr fontId="6" type="noConversion"/>
  <pageMargins left="0.7" right="0.7" top="0.75" bottom="0.75" header="0.3" footer="0.3"/>
  <pageSetup paperSize="9" orientation="portrait" verticalDpi="0" r:id="rId1"/>
  <ignoredErrors>
    <ignoredError sqref="C19:AQ19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workbookViewId="0">
      <selection activeCell="C8" sqref="C8"/>
    </sheetView>
  </sheetViews>
  <sheetFormatPr defaultRowHeight="15" x14ac:dyDescent="0.25"/>
  <cols>
    <col min="1" max="1" width="97.7109375" customWidth="1"/>
    <col min="2" max="2" width="15" customWidth="1"/>
    <col min="3" max="3" width="20.7109375" customWidth="1"/>
    <col min="4" max="4" width="24.7109375" customWidth="1"/>
    <col min="5" max="5" width="77.140625" customWidth="1"/>
    <col min="6" max="6" width="48.140625" customWidth="1"/>
  </cols>
  <sheetData>
    <row r="1" spans="1:15" x14ac:dyDescent="0.25">
      <c r="A1" s="75" t="s">
        <v>289</v>
      </c>
      <c r="E1" t="s">
        <v>13</v>
      </c>
    </row>
    <row r="2" spans="1:15" x14ac:dyDescent="0.25">
      <c r="A2" s="74" t="s">
        <v>301</v>
      </c>
    </row>
    <row r="3" spans="1:15" ht="45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15" x14ac:dyDescent="0.25">
      <c r="B4" s="13"/>
      <c r="C4" s="58"/>
    </row>
    <row r="5" spans="1:15" x14ac:dyDescent="0.25">
      <c r="A5" t="s">
        <v>86</v>
      </c>
      <c r="B5" s="97">
        <f>'BC Ecologische Isolatie'!C42</f>
        <v>1.0335713507384208</v>
      </c>
      <c r="C5" s="86"/>
      <c r="D5" s="86"/>
      <c r="E5" t="s">
        <v>81</v>
      </c>
    </row>
    <row r="6" spans="1:15" x14ac:dyDescent="0.25">
      <c r="B6" s="97"/>
      <c r="C6" s="86"/>
      <c r="D6" s="86"/>
    </row>
    <row r="7" spans="1:15" ht="30" x14ac:dyDescent="0.25">
      <c r="A7" s="40" t="s">
        <v>87</v>
      </c>
      <c r="B7" s="86"/>
      <c r="C7" s="86">
        <f>'BC Ecologische Isolatie'!B3*0.6</f>
        <v>0</v>
      </c>
      <c r="D7" s="86"/>
      <c r="E7" s="103" t="s">
        <v>125</v>
      </c>
    </row>
    <row r="8" spans="1:15" x14ac:dyDescent="0.25">
      <c r="A8" t="s">
        <v>88</v>
      </c>
      <c r="B8" s="86"/>
      <c r="C8" s="86">
        <f>'BC Ecologische Isolatie'!B4*1.9</f>
        <v>1273</v>
      </c>
      <c r="D8" s="86"/>
      <c r="E8" t="s">
        <v>124</v>
      </c>
    </row>
    <row r="9" spans="1:15" x14ac:dyDescent="0.25">
      <c r="A9" t="s">
        <v>89</v>
      </c>
      <c r="B9" s="86"/>
      <c r="C9" s="86">
        <f>C7+C8</f>
        <v>1273</v>
      </c>
      <c r="D9" s="86"/>
      <c r="E9" t="s">
        <v>126</v>
      </c>
    </row>
    <row r="10" spans="1:15" x14ac:dyDescent="0.25">
      <c r="B10" s="86"/>
      <c r="C10" s="86"/>
      <c r="D10" s="86"/>
    </row>
    <row r="11" spans="1:15" ht="30" x14ac:dyDescent="0.25">
      <c r="A11" t="s">
        <v>90</v>
      </c>
      <c r="B11" s="86"/>
      <c r="C11" s="86"/>
      <c r="D11" s="86" t="s">
        <v>78</v>
      </c>
      <c r="E11" s="104" t="s">
        <v>130</v>
      </c>
      <c r="F11" s="2" t="s">
        <v>159</v>
      </c>
    </row>
    <row r="12" spans="1:15" x14ac:dyDescent="0.25">
      <c r="A12" s="40"/>
      <c r="B12" s="86"/>
      <c r="C12" s="86"/>
      <c r="D12" s="86"/>
      <c r="E12" s="40" t="s">
        <v>158</v>
      </c>
      <c r="F12" s="116" t="s">
        <v>106</v>
      </c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25">
      <c r="B13" s="86"/>
      <c r="C13" s="98"/>
      <c r="D13" s="86"/>
      <c r="E13" s="38"/>
      <c r="F13" s="117" t="s">
        <v>93</v>
      </c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25">
      <c r="A14" s="40" t="s">
        <v>186</v>
      </c>
      <c r="B14" s="86">
        <v>5</v>
      </c>
      <c r="C14" s="86">
        <v>3</v>
      </c>
      <c r="D14" s="86">
        <v>3</v>
      </c>
      <c r="E14" s="40" t="s">
        <v>132</v>
      </c>
      <c r="F14" s="117" t="s">
        <v>94</v>
      </c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25">
      <c r="A15" t="s">
        <v>77</v>
      </c>
      <c r="B15" s="86"/>
      <c r="C15" s="26"/>
      <c r="D15" s="86"/>
      <c r="E15" s="40" t="s">
        <v>82</v>
      </c>
      <c r="F15" s="117" t="s">
        <v>291</v>
      </c>
      <c r="G15" s="33"/>
      <c r="H15" s="33"/>
      <c r="I15" s="33"/>
      <c r="J15" s="33"/>
      <c r="K15" s="33"/>
      <c r="L15" s="33"/>
      <c r="M15" s="33"/>
      <c r="N15" s="33"/>
      <c r="O15" s="33"/>
    </row>
    <row r="16" spans="1:15" x14ac:dyDescent="0.25">
      <c r="B16" s="86"/>
      <c r="C16" s="26"/>
      <c r="D16" s="86"/>
      <c r="F16" s="16" t="s">
        <v>95</v>
      </c>
      <c r="G16" s="33"/>
      <c r="H16" s="33"/>
      <c r="I16" s="33"/>
      <c r="J16" s="33"/>
      <c r="K16" s="33"/>
      <c r="L16" s="33"/>
      <c r="M16" s="33"/>
      <c r="N16" s="33"/>
      <c r="O16" s="33"/>
    </row>
    <row r="17" spans="1:15" x14ac:dyDescent="0.25">
      <c r="A17" t="s">
        <v>131</v>
      </c>
      <c r="B17" s="99">
        <v>0.6</v>
      </c>
      <c r="C17" s="99">
        <v>0.1</v>
      </c>
      <c r="D17" s="99">
        <v>0.3</v>
      </c>
      <c r="E17" s="2" t="s">
        <v>84</v>
      </c>
      <c r="F17" s="48" t="s">
        <v>74</v>
      </c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8.75" x14ac:dyDescent="0.3">
      <c r="B18" s="99"/>
      <c r="C18" s="99"/>
      <c r="D18" s="99"/>
      <c r="E18" s="14"/>
      <c r="F18" s="16" t="s">
        <v>96</v>
      </c>
      <c r="G18" s="33"/>
      <c r="H18" s="33"/>
      <c r="I18" s="33"/>
      <c r="J18" s="33"/>
      <c r="K18" s="33"/>
      <c r="L18" s="33"/>
      <c r="M18" s="33"/>
      <c r="N18" s="33"/>
      <c r="O18" s="33"/>
    </row>
    <row r="19" spans="1:15" x14ac:dyDescent="0.25">
      <c r="A19" s="100" t="s">
        <v>128</v>
      </c>
      <c r="B19" s="101">
        <f>B14*B17+C14*C17+D14*D17</f>
        <v>4.1999999999999993</v>
      </c>
      <c r="C19" s="86"/>
      <c r="D19" s="86"/>
      <c r="E19" s="40" t="s">
        <v>129</v>
      </c>
      <c r="F19" s="16" t="s">
        <v>97</v>
      </c>
      <c r="G19" s="33"/>
      <c r="H19" s="33"/>
      <c r="I19" s="33"/>
      <c r="J19" s="33"/>
      <c r="K19" s="33"/>
      <c r="L19" s="33"/>
      <c r="M19" s="33"/>
      <c r="N19" s="33"/>
      <c r="O19" s="33"/>
    </row>
    <row r="20" spans="1:15" x14ac:dyDescent="0.25">
      <c r="F20" s="48" t="s">
        <v>99</v>
      </c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5">
      <c r="F21" s="118" t="s">
        <v>292</v>
      </c>
      <c r="G21" s="33"/>
      <c r="H21" s="33"/>
      <c r="I21" s="33"/>
      <c r="J21" s="33"/>
      <c r="K21" s="33"/>
      <c r="L21" s="33"/>
      <c r="M21" s="33"/>
      <c r="N21" s="33"/>
      <c r="O21" s="33"/>
    </row>
    <row r="22" spans="1:15" x14ac:dyDescent="0.25">
      <c r="F22" s="48" t="s">
        <v>100</v>
      </c>
      <c r="G22" s="33"/>
      <c r="H22" s="33"/>
      <c r="I22" s="33"/>
      <c r="J22" s="33"/>
      <c r="K22" s="33"/>
      <c r="L22" s="33"/>
      <c r="M22" s="33"/>
      <c r="N22" s="33"/>
      <c r="O22" s="33"/>
    </row>
    <row r="23" spans="1:15" x14ac:dyDescent="0.25">
      <c r="F23" s="48" t="s">
        <v>101</v>
      </c>
      <c r="G23" s="33"/>
      <c r="H23" s="33"/>
      <c r="I23" s="33"/>
      <c r="J23" s="33"/>
      <c r="K23" s="33"/>
      <c r="L23" s="33"/>
      <c r="M23" s="33"/>
      <c r="N23" s="33"/>
      <c r="O23" s="33"/>
    </row>
    <row r="24" spans="1:15" x14ac:dyDescent="0.25">
      <c r="F24" s="118" t="s">
        <v>293</v>
      </c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5">
      <c r="F25" s="48" t="s">
        <v>98</v>
      </c>
      <c r="G25" s="33"/>
      <c r="H25" s="33"/>
      <c r="I25" s="33"/>
      <c r="J25" s="33"/>
      <c r="K25" s="33"/>
      <c r="L25" s="33"/>
      <c r="M25" s="33"/>
      <c r="N25" s="33"/>
      <c r="O25" s="33"/>
    </row>
    <row r="26" spans="1:15" x14ac:dyDescent="0.25">
      <c r="F26" s="48" t="s">
        <v>102</v>
      </c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5.75" x14ac:dyDescent="0.25">
      <c r="F27" s="32" t="s">
        <v>77</v>
      </c>
      <c r="G27" s="33"/>
      <c r="H27" s="33"/>
      <c r="I27" s="33"/>
      <c r="J27" s="33"/>
      <c r="K27" s="33"/>
      <c r="L27" s="33"/>
      <c r="M27" s="33"/>
      <c r="N27" s="33"/>
      <c r="O27" s="33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6"/>
  <sheetViews>
    <sheetView workbookViewId="0">
      <selection activeCell="C7" sqref="C7"/>
    </sheetView>
  </sheetViews>
  <sheetFormatPr defaultRowHeight="15" x14ac:dyDescent="0.25"/>
  <cols>
    <col min="1" max="1" width="98.7109375" customWidth="1"/>
    <col min="2" max="2" width="14.28515625" customWidth="1"/>
    <col min="3" max="3" width="20.7109375" customWidth="1"/>
    <col min="4" max="4" width="24.85546875" customWidth="1"/>
    <col min="5" max="5" width="76.7109375" customWidth="1"/>
    <col min="6" max="6" width="89.7109375" customWidth="1"/>
  </cols>
  <sheetData>
    <row r="1" spans="1:6" x14ac:dyDescent="0.25">
      <c r="A1" s="75" t="s">
        <v>289</v>
      </c>
      <c r="E1" t="s">
        <v>13</v>
      </c>
    </row>
    <row r="2" spans="1:6" x14ac:dyDescent="0.25">
      <c r="A2" s="74" t="s">
        <v>327</v>
      </c>
    </row>
    <row r="3" spans="1:6" ht="30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6" x14ac:dyDescent="0.25">
      <c r="B4" s="13"/>
    </row>
    <row r="5" spans="1:6" x14ac:dyDescent="0.25">
      <c r="A5" t="s">
        <v>86</v>
      </c>
      <c r="B5" s="97">
        <f>'BC Combi PVT - WP - buffervat'!C42</f>
        <v>0.17126947632992029</v>
      </c>
      <c r="C5" s="86"/>
      <c r="D5" s="86"/>
      <c r="E5" t="s">
        <v>81</v>
      </c>
    </row>
    <row r="6" spans="1:6" x14ac:dyDescent="0.25">
      <c r="B6" s="97"/>
      <c r="C6" s="86"/>
      <c r="D6" s="86"/>
    </row>
    <row r="7" spans="1:6" ht="30" x14ac:dyDescent="0.25">
      <c r="A7" s="40" t="s">
        <v>127</v>
      </c>
      <c r="B7" s="86"/>
      <c r="C7" s="86">
        <f>'BC Combi PVT - WP - buffervat'!B3*0.6</f>
        <v>-1129.8</v>
      </c>
      <c r="D7" s="86"/>
      <c r="E7" s="103" t="s">
        <v>125</v>
      </c>
    </row>
    <row r="8" spans="1:6" x14ac:dyDescent="0.25">
      <c r="A8" t="s">
        <v>88</v>
      </c>
      <c r="B8" s="86"/>
      <c r="C8" s="86">
        <f>'BC Combi PVT - WP - buffervat'!B4*1.9</f>
        <v>19000</v>
      </c>
      <c r="D8" s="86"/>
      <c r="E8" t="s">
        <v>124</v>
      </c>
    </row>
    <row r="9" spans="1:6" x14ac:dyDescent="0.25">
      <c r="A9" t="s">
        <v>89</v>
      </c>
      <c r="B9" s="86"/>
      <c r="C9" s="86">
        <f>C7+C8</f>
        <v>17870.2</v>
      </c>
      <c r="D9" s="86"/>
      <c r="E9" t="s">
        <v>126</v>
      </c>
    </row>
    <row r="10" spans="1:6" x14ac:dyDescent="0.25">
      <c r="B10" s="86"/>
      <c r="C10" s="86"/>
      <c r="D10" s="86"/>
    </row>
    <row r="11" spans="1:6" ht="30" x14ac:dyDescent="0.25">
      <c r="A11" t="s">
        <v>90</v>
      </c>
      <c r="B11" s="86"/>
      <c r="C11" s="86"/>
      <c r="D11" s="86" t="s">
        <v>110</v>
      </c>
      <c r="E11" s="104" t="s">
        <v>130</v>
      </c>
      <c r="F11" s="2" t="s">
        <v>159</v>
      </c>
    </row>
    <row r="12" spans="1:6" x14ac:dyDescent="0.25">
      <c r="A12" s="40"/>
      <c r="B12" s="86"/>
      <c r="C12" s="86"/>
      <c r="D12" s="86"/>
      <c r="E12" s="40" t="s">
        <v>169</v>
      </c>
      <c r="F12" s="116" t="s">
        <v>109</v>
      </c>
    </row>
    <row r="13" spans="1:6" x14ac:dyDescent="0.25">
      <c r="B13" s="86"/>
      <c r="C13" s="98"/>
      <c r="D13" s="86"/>
      <c r="E13" s="38"/>
      <c r="F13" s="25" t="s">
        <v>108</v>
      </c>
    </row>
    <row r="14" spans="1:6" x14ac:dyDescent="0.25">
      <c r="A14" s="40" t="s">
        <v>186</v>
      </c>
      <c r="B14" s="86">
        <v>2</v>
      </c>
      <c r="C14" s="86">
        <v>5</v>
      </c>
      <c r="D14" s="86">
        <v>2</v>
      </c>
      <c r="E14" s="40" t="s">
        <v>132</v>
      </c>
      <c r="F14" s="117" t="s">
        <v>94</v>
      </c>
    </row>
    <row r="15" spans="1:6" x14ac:dyDescent="0.25">
      <c r="B15" s="86"/>
      <c r="C15" s="26"/>
      <c r="D15" s="86"/>
      <c r="E15" s="40" t="s">
        <v>82</v>
      </c>
      <c r="F15" s="117" t="s">
        <v>291</v>
      </c>
    </row>
    <row r="16" spans="1:6" x14ac:dyDescent="0.25">
      <c r="B16" s="86"/>
      <c r="C16" s="26"/>
      <c r="D16" s="86"/>
      <c r="F16" s="16" t="s">
        <v>95</v>
      </c>
    </row>
    <row r="17" spans="1:6" x14ac:dyDescent="0.25">
      <c r="A17" t="s">
        <v>131</v>
      </c>
      <c r="B17" s="99">
        <v>0.6</v>
      </c>
      <c r="C17" s="99">
        <v>0.2</v>
      </c>
      <c r="D17" s="99">
        <v>0.2</v>
      </c>
      <c r="E17" s="2" t="s">
        <v>84</v>
      </c>
      <c r="F17" s="48" t="s">
        <v>74</v>
      </c>
    </row>
    <row r="18" spans="1:6" ht="18.75" x14ac:dyDescent="0.3">
      <c r="B18" s="4"/>
      <c r="C18" s="4"/>
      <c r="D18" s="4"/>
      <c r="E18" s="14"/>
      <c r="F18" s="16" t="s">
        <v>96</v>
      </c>
    </row>
    <row r="19" spans="1:6" x14ac:dyDescent="0.25">
      <c r="A19" s="110" t="s">
        <v>128</v>
      </c>
      <c r="B19" s="115">
        <f>B14*B17+C14*C17+D14*D17</f>
        <v>2.6</v>
      </c>
      <c r="E19" s="40" t="s">
        <v>129</v>
      </c>
      <c r="F19" s="16" t="s">
        <v>97</v>
      </c>
    </row>
    <row r="20" spans="1:6" x14ac:dyDescent="0.25">
      <c r="F20" s="48" t="s">
        <v>99</v>
      </c>
    </row>
    <row r="21" spans="1:6" x14ac:dyDescent="0.25">
      <c r="F21" s="116" t="s">
        <v>305</v>
      </c>
    </row>
    <row r="22" spans="1:6" x14ac:dyDescent="0.25">
      <c r="F22" s="48" t="s">
        <v>100</v>
      </c>
    </row>
    <row r="23" spans="1:6" x14ac:dyDescent="0.25">
      <c r="F23" s="48" t="s">
        <v>101</v>
      </c>
    </row>
    <row r="24" spans="1:6" x14ac:dyDescent="0.25">
      <c r="F24" s="48" t="s">
        <v>293</v>
      </c>
    </row>
    <row r="25" spans="1:6" x14ac:dyDescent="0.25">
      <c r="F25" s="48" t="s">
        <v>304</v>
      </c>
    </row>
    <row r="26" spans="1:6" x14ac:dyDescent="0.25">
      <c r="F26" s="48" t="s">
        <v>102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A49"/>
  <sheetViews>
    <sheetView workbookViewId="0">
      <selection activeCell="B1" sqref="B1"/>
    </sheetView>
  </sheetViews>
  <sheetFormatPr defaultRowHeight="15" x14ac:dyDescent="0.25"/>
  <cols>
    <col min="1" max="1" width="17.28515625" bestFit="1" customWidth="1"/>
    <col min="2" max="2" width="85.85546875" customWidth="1"/>
    <col min="3" max="3" width="12.7109375" customWidth="1"/>
    <col min="4" max="4" width="16.7109375" customWidth="1"/>
    <col min="5" max="19" width="11.140625" customWidth="1"/>
    <col min="20" max="35" width="7.85546875" customWidth="1"/>
    <col min="36" max="44" width="6.140625" customWidth="1"/>
    <col min="45" max="45" width="7.85546875" customWidth="1"/>
  </cols>
  <sheetData>
    <row r="1" spans="1:19" x14ac:dyDescent="0.25">
      <c r="B1" s="74" t="s">
        <v>336</v>
      </c>
      <c r="C1" s="76" t="s">
        <v>0</v>
      </c>
      <c r="D1" s="76" t="s">
        <v>226</v>
      </c>
      <c r="E1" s="76" t="s">
        <v>227</v>
      </c>
      <c r="F1" s="76" t="s">
        <v>228</v>
      </c>
      <c r="G1" s="76" t="s">
        <v>229</v>
      </c>
      <c r="H1" s="76" t="s">
        <v>230</v>
      </c>
      <c r="I1" s="76" t="s">
        <v>231</v>
      </c>
      <c r="J1" s="76" t="s">
        <v>232</v>
      </c>
      <c r="K1" s="76" t="s">
        <v>233</v>
      </c>
      <c r="L1" s="76" t="s">
        <v>234</v>
      </c>
      <c r="M1" s="76" t="s">
        <v>235</v>
      </c>
      <c r="N1" s="76" t="s">
        <v>236</v>
      </c>
      <c r="O1" s="76" t="s">
        <v>237</v>
      </c>
      <c r="P1" s="76" t="s">
        <v>238</v>
      </c>
      <c r="Q1" s="76" t="s">
        <v>239</v>
      </c>
      <c r="R1" s="76" t="s">
        <v>240</v>
      </c>
      <c r="S1" s="76" t="s">
        <v>241</v>
      </c>
    </row>
    <row r="2" spans="1:19" x14ac:dyDescent="0.25">
      <c r="A2" t="s">
        <v>307</v>
      </c>
      <c r="B2">
        <v>1440.8</v>
      </c>
      <c r="C2" s="30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t="s">
        <v>308</v>
      </c>
      <c r="B3">
        <v>515</v>
      </c>
      <c r="C3" s="30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t="s">
        <v>286</v>
      </c>
      <c r="B4" s="2">
        <v>0.26</v>
      </c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t="s">
        <v>287</v>
      </c>
      <c r="B5" s="2">
        <v>0.5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B6" s="1"/>
      <c r="C6" s="82"/>
      <c r="D6" s="82"/>
      <c r="E6" s="82"/>
      <c r="F6" s="82"/>
      <c r="G6" s="8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B7" s="28" t="s">
        <v>290</v>
      </c>
      <c r="C7" s="5">
        <f t="shared" ref="C7:Q7" si="0">0.5*$B$3+0.26*ABS($B$2)</f>
        <v>632.10799999999995</v>
      </c>
      <c r="D7" s="5">
        <f t="shared" si="0"/>
        <v>632.10799999999995</v>
      </c>
      <c r="E7" s="5">
        <f t="shared" si="0"/>
        <v>632.10799999999995</v>
      </c>
      <c r="F7" s="5">
        <f t="shared" si="0"/>
        <v>632.10799999999995</v>
      </c>
      <c r="G7" s="5">
        <f t="shared" si="0"/>
        <v>632.10799999999995</v>
      </c>
      <c r="H7" s="5">
        <f t="shared" si="0"/>
        <v>632.10799999999995</v>
      </c>
      <c r="I7" s="5">
        <f t="shared" si="0"/>
        <v>632.10799999999995</v>
      </c>
      <c r="J7" s="5">
        <f t="shared" si="0"/>
        <v>632.10799999999995</v>
      </c>
      <c r="K7" s="5">
        <f t="shared" si="0"/>
        <v>632.10799999999995</v>
      </c>
      <c r="L7" s="5">
        <f t="shared" si="0"/>
        <v>632.10799999999995</v>
      </c>
      <c r="M7" s="5">
        <f t="shared" si="0"/>
        <v>632.10799999999995</v>
      </c>
      <c r="N7" s="5">
        <f t="shared" si="0"/>
        <v>632.10799999999995</v>
      </c>
      <c r="O7" s="5">
        <f t="shared" si="0"/>
        <v>632.10799999999995</v>
      </c>
      <c r="P7" s="5">
        <f t="shared" si="0"/>
        <v>632.10799999999995</v>
      </c>
      <c r="Q7" s="5">
        <f t="shared" si="0"/>
        <v>632.10799999999995</v>
      </c>
      <c r="R7" s="5">
        <v>0</v>
      </c>
      <c r="S7" s="5">
        <v>0</v>
      </c>
    </row>
    <row r="8" spans="1:19" x14ac:dyDescent="0.25">
      <c r="B8" t="s">
        <v>54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"/>
      <c r="S8" s="5"/>
    </row>
    <row r="9" spans="1:19" x14ac:dyDescent="0.25">
      <c r="B9" t="s">
        <v>133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5"/>
      <c r="S9" s="5"/>
    </row>
    <row r="10" spans="1:19" x14ac:dyDescent="0.25">
      <c r="B10" t="s">
        <v>135</v>
      </c>
      <c r="C10" s="6">
        <v>25</v>
      </c>
      <c r="D10" s="6">
        <v>25</v>
      </c>
      <c r="E10" s="6">
        <v>25</v>
      </c>
      <c r="F10" s="6">
        <v>25</v>
      </c>
      <c r="G10" s="6">
        <v>25</v>
      </c>
      <c r="H10" s="6">
        <v>25</v>
      </c>
      <c r="I10" s="6">
        <v>25</v>
      </c>
      <c r="J10" s="6">
        <v>25</v>
      </c>
      <c r="K10" s="6">
        <v>25</v>
      </c>
      <c r="L10" s="6">
        <v>25</v>
      </c>
      <c r="M10" s="6">
        <v>25</v>
      </c>
      <c r="N10" s="6">
        <v>25</v>
      </c>
      <c r="O10" s="6">
        <v>25</v>
      </c>
      <c r="P10" s="6">
        <v>25</v>
      </c>
      <c r="Q10" s="6">
        <v>25</v>
      </c>
      <c r="R10" s="6">
        <v>0</v>
      </c>
      <c r="S10" s="6">
        <v>0</v>
      </c>
    </row>
    <row r="11" spans="1:19" x14ac:dyDescent="0.25">
      <c r="B11" t="s">
        <v>134</v>
      </c>
      <c r="C11" s="6"/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5"/>
      <c r="S11" s="5"/>
    </row>
    <row r="12" spans="1:19" x14ac:dyDescent="0.25">
      <c r="B12" t="s">
        <v>21</v>
      </c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5"/>
      <c r="S12" s="5"/>
    </row>
    <row r="13" spans="1:19" x14ac:dyDescent="0.25">
      <c r="B13" s="1" t="s">
        <v>1</v>
      </c>
      <c r="C13" s="5">
        <f>C7-SUM(C8:C12)</f>
        <v>607.10799999999995</v>
      </c>
      <c r="D13" s="5">
        <f>D7-SUM(D8:D12)</f>
        <v>607.10799999999995</v>
      </c>
      <c r="E13" s="5">
        <f>E7-SUM(E8:E12)</f>
        <v>607.10799999999995</v>
      </c>
      <c r="F13" s="5">
        <f>F7-SUM(F8:F12)</f>
        <v>607.10799999999995</v>
      </c>
      <c r="G13" s="5">
        <f>G7-SUM(G8:G12)</f>
        <v>607.10799999999995</v>
      </c>
      <c r="H13" s="5">
        <f t="shared" ref="H13:Q13" si="1">H7-SUM(H8:H12)</f>
        <v>607.10799999999995</v>
      </c>
      <c r="I13" s="5">
        <f t="shared" si="1"/>
        <v>607.10799999999995</v>
      </c>
      <c r="J13" s="5">
        <f t="shared" si="1"/>
        <v>607.10799999999995</v>
      </c>
      <c r="K13" s="5">
        <f t="shared" si="1"/>
        <v>607.10799999999995</v>
      </c>
      <c r="L13" s="5">
        <f t="shared" si="1"/>
        <v>607.10799999999995</v>
      </c>
      <c r="M13" s="5">
        <f t="shared" si="1"/>
        <v>607.10799999999995</v>
      </c>
      <c r="N13" s="5">
        <f t="shared" si="1"/>
        <v>607.10799999999995</v>
      </c>
      <c r="O13" s="5">
        <f t="shared" si="1"/>
        <v>607.10799999999995</v>
      </c>
      <c r="P13" s="5">
        <f t="shared" si="1"/>
        <v>607.10799999999995</v>
      </c>
      <c r="Q13" s="5">
        <f t="shared" si="1"/>
        <v>607.10799999999995</v>
      </c>
      <c r="R13" s="5">
        <f t="shared" ref="R13:S13" si="2">R7-SUM(R8:R12)</f>
        <v>0</v>
      </c>
      <c r="S13" s="5">
        <f t="shared" si="2"/>
        <v>0</v>
      </c>
    </row>
    <row r="14" spans="1:19" ht="30" x14ac:dyDescent="0.25">
      <c r="B14" s="55" t="s">
        <v>16</v>
      </c>
      <c r="C14" s="6">
        <f>$C$28/15</f>
        <v>513.33333333333337</v>
      </c>
      <c r="D14" s="6">
        <f t="shared" ref="D14:Q14" si="3">$C$28/15</f>
        <v>513.33333333333337</v>
      </c>
      <c r="E14" s="6">
        <f t="shared" si="3"/>
        <v>513.33333333333337</v>
      </c>
      <c r="F14" s="6">
        <f t="shared" si="3"/>
        <v>513.33333333333337</v>
      </c>
      <c r="G14" s="6">
        <f t="shared" si="3"/>
        <v>513.33333333333337</v>
      </c>
      <c r="H14" s="6">
        <f t="shared" si="3"/>
        <v>513.33333333333337</v>
      </c>
      <c r="I14" s="6">
        <f t="shared" si="3"/>
        <v>513.33333333333337</v>
      </c>
      <c r="J14" s="6">
        <f t="shared" si="3"/>
        <v>513.33333333333337</v>
      </c>
      <c r="K14" s="6">
        <f t="shared" si="3"/>
        <v>513.33333333333337</v>
      </c>
      <c r="L14" s="6">
        <f t="shared" si="3"/>
        <v>513.33333333333337</v>
      </c>
      <c r="M14" s="6">
        <f t="shared" si="3"/>
        <v>513.33333333333337</v>
      </c>
      <c r="N14" s="6">
        <f t="shared" si="3"/>
        <v>513.33333333333337</v>
      </c>
      <c r="O14" s="6">
        <f t="shared" si="3"/>
        <v>513.33333333333337</v>
      </c>
      <c r="P14" s="6">
        <f t="shared" si="3"/>
        <v>513.33333333333337</v>
      </c>
      <c r="Q14" s="6">
        <f t="shared" si="3"/>
        <v>513.33333333333337</v>
      </c>
      <c r="R14" s="6">
        <v>0</v>
      </c>
      <c r="S14" s="6">
        <v>0</v>
      </c>
    </row>
    <row r="15" spans="1:19" x14ac:dyDescent="0.25">
      <c r="B15" s="1" t="s">
        <v>2</v>
      </c>
      <c r="C15" s="5">
        <f t="shared" ref="C15:Q15" si="4">C13-C14</f>
        <v>93.774666666666576</v>
      </c>
      <c r="D15" s="5">
        <f t="shared" si="4"/>
        <v>93.774666666666576</v>
      </c>
      <c r="E15" s="5">
        <f t="shared" si="4"/>
        <v>93.774666666666576</v>
      </c>
      <c r="F15" s="5">
        <f t="shared" si="4"/>
        <v>93.774666666666576</v>
      </c>
      <c r="G15" s="5">
        <f t="shared" si="4"/>
        <v>93.774666666666576</v>
      </c>
      <c r="H15" s="5">
        <f t="shared" si="4"/>
        <v>93.774666666666576</v>
      </c>
      <c r="I15" s="5">
        <f t="shared" si="4"/>
        <v>93.774666666666576</v>
      </c>
      <c r="J15" s="5">
        <f t="shared" si="4"/>
        <v>93.774666666666576</v>
      </c>
      <c r="K15" s="5">
        <f t="shared" si="4"/>
        <v>93.774666666666576</v>
      </c>
      <c r="L15" s="5">
        <f t="shared" si="4"/>
        <v>93.774666666666576</v>
      </c>
      <c r="M15" s="5">
        <f t="shared" si="4"/>
        <v>93.774666666666576</v>
      </c>
      <c r="N15" s="5">
        <f t="shared" si="4"/>
        <v>93.774666666666576</v>
      </c>
      <c r="O15" s="5">
        <f t="shared" si="4"/>
        <v>93.774666666666576</v>
      </c>
      <c r="P15" s="5">
        <f t="shared" si="4"/>
        <v>93.774666666666576</v>
      </c>
      <c r="Q15" s="5">
        <f t="shared" si="4"/>
        <v>93.774666666666576</v>
      </c>
      <c r="R15" s="5">
        <f t="shared" ref="R15:S15" si="5">R13-R14</f>
        <v>0</v>
      </c>
      <c r="S15" s="5">
        <f t="shared" si="5"/>
        <v>0</v>
      </c>
    </row>
    <row r="16" spans="1:19" x14ac:dyDescent="0.25">
      <c r="B16" t="s">
        <v>23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2:19" x14ac:dyDescent="0.25">
      <c r="B17" s="1" t="s">
        <v>3</v>
      </c>
      <c r="C17" s="5">
        <f t="shared" ref="C17:Q17" si="6">C15-C16</f>
        <v>93.774666666666576</v>
      </c>
      <c r="D17" s="5">
        <f t="shared" si="6"/>
        <v>93.774666666666576</v>
      </c>
      <c r="E17" s="5">
        <f t="shared" si="6"/>
        <v>93.774666666666576</v>
      </c>
      <c r="F17" s="5">
        <f t="shared" si="6"/>
        <v>93.774666666666576</v>
      </c>
      <c r="G17" s="5">
        <f t="shared" si="6"/>
        <v>93.774666666666576</v>
      </c>
      <c r="H17" s="5">
        <f t="shared" si="6"/>
        <v>93.774666666666576</v>
      </c>
      <c r="I17" s="5">
        <f t="shared" si="6"/>
        <v>93.774666666666576</v>
      </c>
      <c r="J17" s="5">
        <f t="shared" si="6"/>
        <v>93.774666666666576</v>
      </c>
      <c r="K17" s="5">
        <f t="shared" si="6"/>
        <v>93.774666666666576</v>
      </c>
      <c r="L17" s="5">
        <f t="shared" si="6"/>
        <v>93.774666666666576</v>
      </c>
      <c r="M17" s="5">
        <f t="shared" si="6"/>
        <v>93.774666666666576</v>
      </c>
      <c r="N17" s="5">
        <f t="shared" si="6"/>
        <v>93.774666666666576</v>
      </c>
      <c r="O17" s="5">
        <f t="shared" si="6"/>
        <v>93.774666666666576</v>
      </c>
      <c r="P17" s="5">
        <f t="shared" si="6"/>
        <v>93.774666666666576</v>
      </c>
      <c r="Q17" s="5">
        <f t="shared" si="6"/>
        <v>93.774666666666576</v>
      </c>
      <c r="R17" s="5">
        <f t="shared" ref="R17:S17" si="7">R15-R16</f>
        <v>0</v>
      </c>
      <c r="S17" s="5">
        <f t="shared" si="7"/>
        <v>0</v>
      </c>
    </row>
    <row r="18" spans="2:19" x14ac:dyDescent="0.25">
      <c r="B18" t="s">
        <v>20</v>
      </c>
      <c r="C18" s="6">
        <f>0.25*C17</f>
        <v>23.443666666666644</v>
      </c>
      <c r="D18" s="6">
        <f t="shared" ref="D18:Q18" si="8">0.25*D17</f>
        <v>23.443666666666644</v>
      </c>
      <c r="E18" s="6">
        <f t="shared" si="8"/>
        <v>23.443666666666644</v>
      </c>
      <c r="F18" s="6">
        <f t="shared" si="8"/>
        <v>23.443666666666644</v>
      </c>
      <c r="G18" s="6">
        <f t="shared" si="8"/>
        <v>23.443666666666644</v>
      </c>
      <c r="H18" s="6">
        <f t="shared" si="8"/>
        <v>23.443666666666644</v>
      </c>
      <c r="I18" s="6">
        <f t="shared" si="8"/>
        <v>23.443666666666644</v>
      </c>
      <c r="J18" s="6">
        <f t="shared" si="8"/>
        <v>23.443666666666644</v>
      </c>
      <c r="K18" s="6">
        <f t="shared" si="8"/>
        <v>23.443666666666644</v>
      </c>
      <c r="L18" s="6">
        <f t="shared" si="8"/>
        <v>23.443666666666644</v>
      </c>
      <c r="M18" s="6">
        <f t="shared" si="8"/>
        <v>23.443666666666644</v>
      </c>
      <c r="N18" s="6">
        <f t="shared" si="8"/>
        <v>23.443666666666644</v>
      </c>
      <c r="O18" s="6">
        <f t="shared" si="8"/>
        <v>23.443666666666644</v>
      </c>
      <c r="P18" s="6">
        <f t="shared" si="8"/>
        <v>23.443666666666644</v>
      </c>
      <c r="Q18" s="6">
        <f t="shared" si="8"/>
        <v>23.443666666666644</v>
      </c>
      <c r="R18" s="6">
        <f t="shared" ref="R18:S18" si="9">0.25*R17</f>
        <v>0</v>
      </c>
      <c r="S18" s="6">
        <f t="shared" si="9"/>
        <v>0</v>
      </c>
    </row>
    <row r="19" spans="2:19" x14ac:dyDescent="0.25">
      <c r="B19" s="1" t="s">
        <v>4</v>
      </c>
      <c r="C19" s="5">
        <f t="shared" ref="C19:Q19" si="10">C17-C18</f>
        <v>70.330999999999932</v>
      </c>
      <c r="D19" s="5">
        <f t="shared" si="10"/>
        <v>70.330999999999932</v>
      </c>
      <c r="E19" s="5">
        <f t="shared" si="10"/>
        <v>70.330999999999932</v>
      </c>
      <c r="F19" s="5">
        <f t="shared" si="10"/>
        <v>70.330999999999932</v>
      </c>
      <c r="G19" s="5">
        <f t="shared" si="10"/>
        <v>70.330999999999932</v>
      </c>
      <c r="H19" s="5">
        <f t="shared" si="10"/>
        <v>70.330999999999932</v>
      </c>
      <c r="I19" s="5">
        <f t="shared" si="10"/>
        <v>70.330999999999932</v>
      </c>
      <c r="J19" s="5">
        <f t="shared" si="10"/>
        <v>70.330999999999932</v>
      </c>
      <c r="K19" s="5">
        <f t="shared" si="10"/>
        <v>70.330999999999932</v>
      </c>
      <c r="L19" s="5">
        <f t="shared" si="10"/>
        <v>70.330999999999932</v>
      </c>
      <c r="M19" s="5">
        <f t="shared" si="10"/>
        <v>70.330999999999932</v>
      </c>
      <c r="N19" s="5">
        <f t="shared" si="10"/>
        <v>70.330999999999932</v>
      </c>
      <c r="O19" s="5">
        <f t="shared" si="10"/>
        <v>70.330999999999932</v>
      </c>
      <c r="P19" s="5">
        <f t="shared" si="10"/>
        <v>70.330999999999932</v>
      </c>
      <c r="Q19" s="5">
        <f t="shared" si="10"/>
        <v>70.330999999999932</v>
      </c>
      <c r="R19" s="5">
        <f t="shared" ref="R19:S19" si="11">R17-R18</f>
        <v>0</v>
      </c>
      <c r="S19" s="5">
        <f t="shared" si="11"/>
        <v>0</v>
      </c>
    </row>
    <row r="20" spans="2:19" x14ac:dyDescent="0.25">
      <c r="B20" t="s">
        <v>136</v>
      </c>
      <c r="C20" s="6">
        <f>C14</f>
        <v>513.33333333333337</v>
      </c>
      <c r="D20" s="6">
        <f>D14</f>
        <v>513.33333333333337</v>
      </c>
      <c r="E20" s="6">
        <f>E14</f>
        <v>513.33333333333337</v>
      </c>
      <c r="F20" s="6">
        <f>F14</f>
        <v>513.33333333333337</v>
      </c>
      <c r="G20" s="6">
        <f>G14</f>
        <v>513.33333333333337</v>
      </c>
      <c r="H20" s="6">
        <f t="shared" ref="H20:Q20" si="12">H14</f>
        <v>513.33333333333337</v>
      </c>
      <c r="I20" s="6">
        <f t="shared" si="12"/>
        <v>513.33333333333337</v>
      </c>
      <c r="J20" s="6">
        <f t="shared" si="12"/>
        <v>513.33333333333337</v>
      </c>
      <c r="K20" s="6">
        <f t="shared" si="12"/>
        <v>513.33333333333337</v>
      </c>
      <c r="L20" s="6">
        <f t="shared" si="12"/>
        <v>513.33333333333337</v>
      </c>
      <c r="M20" s="6">
        <f t="shared" si="12"/>
        <v>513.33333333333337</v>
      </c>
      <c r="N20" s="6">
        <f t="shared" si="12"/>
        <v>513.33333333333337</v>
      </c>
      <c r="O20" s="6">
        <f t="shared" si="12"/>
        <v>513.33333333333337</v>
      </c>
      <c r="P20" s="6">
        <f t="shared" si="12"/>
        <v>513.33333333333337</v>
      </c>
      <c r="Q20" s="6">
        <f t="shared" si="12"/>
        <v>513.33333333333337</v>
      </c>
      <c r="R20" s="6">
        <f t="shared" ref="R20:S20" si="13">R14</f>
        <v>0</v>
      </c>
      <c r="S20" s="6">
        <f t="shared" si="13"/>
        <v>0</v>
      </c>
    </row>
    <row r="21" spans="2:19" x14ac:dyDescent="0.25">
      <c r="B21" t="s">
        <v>45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5"/>
      <c r="S21" s="5"/>
    </row>
    <row r="22" spans="2:19" x14ac:dyDescent="0.25">
      <c r="B22" s="11" t="s">
        <v>137</v>
      </c>
      <c r="C22" s="6">
        <v>300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5"/>
      <c r="S22" s="5"/>
    </row>
    <row r="23" spans="2:19" x14ac:dyDescent="0.25">
      <c r="B23" t="s">
        <v>33</v>
      </c>
      <c r="C23" s="6">
        <f>E28*0.5</f>
        <v>1750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5"/>
      <c r="S23" s="5"/>
    </row>
    <row r="24" spans="2:19" x14ac:dyDescent="0.25">
      <c r="B24" s="1" t="s">
        <v>5</v>
      </c>
      <c r="C24" s="5">
        <f t="shared" ref="C24:H24" si="14">C19+SUM(C20:C23)</f>
        <v>2633.6643333333336</v>
      </c>
      <c r="D24" s="5">
        <f t="shared" si="14"/>
        <v>583.66433333333327</v>
      </c>
      <c r="E24" s="5">
        <f t="shared" si="14"/>
        <v>583.66433333333327</v>
      </c>
      <c r="F24" s="5">
        <f t="shared" si="14"/>
        <v>583.66433333333327</v>
      </c>
      <c r="G24" s="5">
        <f t="shared" si="14"/>
        <v>583.66433333333327</v>
      </c>
      <c r="H24" s="5">
        <f t="shared" si="14"/>
        <v>583.66433333333327</v>
      </c>
      <c r="I24" s="5">
        <f t="shared" ref="I24:Q24" si="15">I19+SUM(I20:I23)</f>
        <v>583.66433333333327</v>
      </c>
      <c r="J24" s="5">
        <f t="shared" si="15"/>
        <v>583.66433333333327</v>
      </c>
      <c r="K24" s="5">
        <f t="shared" si="15"/>
        <v>583.66433333333327</v>
      </c>
      <c r="L24" s="5">
        <f t="shared" si="15"/>
        <v>583.66433333333327</v>
      </c>
      <c r="M24" s="5">
        <f t="shared" si="15"/>
        <v>583.66433333333327</v>
      </c>
      <c r="N24" s="5">
        <f t="shared" si="15"/>
        <v>583.66433333333327</v>
      </c>
      <c r="O24" s="5">
        <f t="shared" si="15"/>
        <v>583.66433333333327</v>
      </c>
      <c r="P24" s="5">
        <f t="shared" si="15"/>
        <v>583.66433333333327</v>
      </c>
      <c r="Q24" s="5">
        <f t="shared" si="15"/>
        <v>583.66433333333327</v>
      </c>
      <c r="R24" s="5">
        <f t="shared" ref="R24:S24" si="16">R19+SUM(R20:R23)</f>
        <v>0</v>
      </c>
      <c r="S24" s="5">
        <f t="shared" si="16"/>
        <v>0</v>
      </c>
    </row>
    <row r="25" spans="2:19" x14ac:dyDescent="0.25"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s="113" customFormat="1" x14ac:dyDescent="0.25">
      <c r="B26" s="114" t="s">
        <v>27</v>
      </c>
      <c r="C26" s="114"/>
      <c r="D26" s="114" t="s">
        <v>44</v>
      </c>
      <c r="E26" s="90" t="s">
        <v>0</v>
      </c>
      <c r="F26" s="90" t="s">
        <v>226</v>
      </c>
      <c r="G26" s="90" t="s">
        <v>227</v>
      </c>
      <c r="H26" s="90" t="s">
        <v>228</v>
      </c>
      <c r="I26" s="90" t="s">
        <v>229</v>
      </c>
      <c r="J26" s="90" t="s">
        <v>230</v>
      </c>
      <c r="K26" s="90" t="s">
        <v>231</v>
      </c>
      <c r="L26" s="90" t="s">
        <v>232</v>
      </c>
      <c r="M26" s="90" t="s">
        <v>233</v>
      </c>
      <c r="N26" s="90" t="s">
        <v>234</v>
      </c>
      <c r="O26" s="90" t="s">
        <v>235</v>
      </c>
      <c r="P26" s="90" t="s">
        <v>236</v>
      </c>
      <c r="Q26" s="90" t="s">
        <v>237</v>
      </c>
      <c r="R26" s="90" t="s">
        <v>238</v>
      </c>
      <c r="S26" s="90" t="s">
        <v>239</v>
      </c>
    </row>
    <row r="27" spans="2:19" x14ac:dyDescent="0.25">
      <c r="B27" s="7" t="s">
        <v>7</v>
      </c>
      <c r="C27" s="8">
        <f>SUM(C24:Q24)</f>
        <v>10804.965000000002</v>
      </c>
      <c r="D27" s="6" t="s">
        <v>29</v>
      </c>
      <c r="E27" s="10">
        <f>C24-C28</f>
        <v>-5066.3356666666659</v>
      </c>
      <c r="F27" s="10">
        <f>E27+D24</f>
        <v>-4482.6713333333328</v>
      </c>
      <c r="G27" s="10">
        <f t="shared" ref="G27:S27" si="17">F27+E24</f>
        <v>-3899.0069999999996</v>
      </c>
      <c r="H27" s="10">
        <f t="shared" si="17"/>
        <v>-3315.3426666666664</v>
      </c>
      <c r="I27" s="10">
        <f t="shared" si="17"/>
        <v>-2731.6783333333333</v>
      </c>
      <c r="J27" s="10">
        <f t="shared" si="17"/>
        <v>-2148.0140000000001</v>
      </c>
      <c r="K27" s="10">
        <f t="shared" si="17"/>
        <v>-1564.349666666667</v>
      </c>
      <c r="L27" s="10">
        <f t="shared" si="17"/>
        <v>-980.68533333333369</v>
      </c>
      <c r="M27" s="10">
        <f t="shared" si="17"/>
        <v>-397.02100000000041</v>
      </c>
      <c r="N27" s="10">
        <f t="shared" si="17"/>
        <v>186.64333333333286</v>
      </c>
      <c r="O27" s="10">
        <f t="shared" si="17"/>
        <v>770.30766666666614</v>
      </c>
      <c r="P27" s="10">
        <f t="shared" si="17"/>
        <v>1353.9719999999993</v>
      </c>
      <c r="Q27" s="10">
        <f t="shared" si="17"/>
        <v>1937.6363333333325</v>
      </c>
      <c r="R27" s="10">
        <f t="shared" si="17"/>
        <v>2521.3006666666656</v>
      </c>
      <c r="S27" s="10">
        <f t="shared" si="17"/>
        <v>3104.9649999999988</v>
      </c>
    </row>
    <row r="28" spans="2:19" ht="45" x14ac:dyDescent="0.25">
      <c r="B28" s="60" t="s">
        <v>143</v>
      </c>
      <c r="C28" s="8">
        <f>3500+4200</f>
        <v>7700</v>
      </c>
      <c r="D28" s="139" t="s">
        <v>278</v>
      </c>
      <c r="E28" s="10">
        <f>C28-4200</f>
        <v>3500</v>
      </c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2:19" x14ac:dyDescent="0.25">
      <c r="B29" s="7" t="s">
        <v>18</v>
      </c>
      <c r="C29" s="8"/>
      <c r="D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2:19" x14ac:dyDescent="0.25">
      <c r="B30" s="7" t="s">
        <v>8</v>
      </c>
      <c r="C30" s="8">
        <f>C27-C28</f>
        <v>3104.965000000002</v>
      </c>
      <c r="D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2:19" x14ac:dyDescent="0.25">
      <c r="B31" s="7" t="s">
        <v>10</v>
      </c>
      <c r="C31" s="15">
        <f>C30/C28*100%</f>
        <v>0.40324220779220804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2:19" x14ac:dyDescent="0.25">
      <c r="B32" s="6"/>
      <c r="C32" s="5"/>
      <c r="D32" s="6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2:27" x14ac:dyDescent="0.25">
      <c r="B33" t="s">
        <v>31</v>
      </c>
      <c r="C33" s="4">
        <v>0.05</v>
      </c>
      <c r="D33" s="6"/>
      <c r="E33" s="6"/>
    </row>
    <row r="34" spans="2:27" x14ac:dyDescent="0.25">
      <c r="B34" s="1" t="s">
        <v>6</v>
      </c>
      <c r="C34" s="5">
        <f>C24/(1+$C33)</f>
        <v>2508.2517460317463</v>
      </c>
      <c r="D34" s="5">
        <f>D24/(1+$C33)^2</f>
        <v>529.40075585789862</v>
      </c>
      <c r="E34" s="5">
        <f>E24/(1+$C33)^3</f>
        <v>504.19119605514152</v>
      </c>
      <c r="F34" s="5">
        <f>F24/(1+$C33)^4</f>
        <v>480.18209148108724</v>
      </c>
      <c r="G34" s="5">
        <f>G24/(1+$C33)^5</f>
        <v>457.31627760103538</v>
      </c>
      <c r="H34" s="5">
        <f>H24/(1+$C33)^6</f>
        <v>435.53931200098617</v>
      </c>
      <c r="I34" s="5">
        <f>I24/(1+$C33)^7</f>
        <v>414.79934476284387</v>
      </c>
      <c r="J34" s="5">
        <f>J24/(1+$C33)^8</f>
        <v>395.04699501223229</v>
      </c>
      <c r="K34" s="5">
        <f>K24/(1+$C33)^9</f>
        <v>376.23523334498316</v>
      </c>
      <c r="L34" s="5">
        <f>L24/(1+$C33)^10</f>
        <v>358.31926985236487</v>
      </c>
      <c r="M34" s="5">
        <f>M24/(1+$C33)^11</f>
        <v>341.25644747844274</v>
      </c>
      <c r="N34" s="5">
        <f>N24/(1+$C33)^12</f>
        <v>325.00614045565976</v>
      </c>
      <c r="O34" s="5">
        <f>O24/(1+$C33)^13</f>
        <v>309.52965757681881</v>
      </c>
      <c r="P34" s="5">
        <f>P24/(1+$C33)^14</f>
        <v>294.79015007316082</v>
      </c>
      <c r="Q34" s="5">
        <f>Q24/(1+$C33)^15</f>
        <v>280.75252387920068</v>
      </c>
      <c r="R34" s="5">
        <f>R24/(1+$C33)^16</f>
        <v>0</v>
      </c>
      <c r="S34" s="5">
        <f>S24/(1+$C33)^17</f>
        <v>0</v>
      </c>
    </row>
    <row r="35" spans="2:27" x14ac:dyDescent="0.25">
      <c r="B35" s="1"/>
      <c r="C35" s="5"/>
      <c r="D35" s="5"/>
      <c r="E35" s="5"/>
      <c r="F35" s="5"/>
      <c r="G35" s="5"/>
      <c r="H35" s="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27" s="113" customFormat="1" x14ac:dyDescent="0.25">
      <c r="B36" s="123" t="s">
        <v>28</v>
      </c>
      <c r="C36" s="126"/>
      <c r="D36" s="124" t="s">
        <v>44</v>
      </c>
      <c r="E36" s="91" t="s">
        <v>0</v>
      </c>
      <c r="F36" s="91" t="s">
        <v>226</v>
      </c>
      <c r="G36" s="91" t="s">
        <v>227</v>
      </c>
      <c r="H36" s="91" t="s">
        <v>228</v>
      </c>
      <c r="I36" s="91" t="s">
        <v>229</v>
      </c>
      <c r="J36" s="91" t="s">
        <v>230</v>
      </c>
      <c r="K36" s="91" t="s">
        <v>231</v>
      </c>
      <c r="L36" s="91" t="s">
        <v>232</v>
      </c>
      <c r="M36" s="91" t="s">
        <v>233</v>
      </c>
      <c r="N36" s="91" t="s">
        <v>234</v>
      </c>
      <c r="O36" s="91" t="s">
        <v>235</v>
      </c>
      <c r="P36" s="91" t="s">
        <v>236</v>
      </c>
      <c r="Q36" s="91" t="s">
        <v>237</v>
      </c>
      <c r="R36" s="91" t="s">
        <v>238</v>
      </c>
      <c r="S36" s="91" t="s">
        <v>239</v>
      </c>
    </row>
    <row r="37" spans="2:27" x14ac:dyDescent="0.25">
      <c r="B37" s="7" t="s">
        <v>15</v>
      </c>
      <c r="C37" s="8">
        <f>SUM(C34:Q34)</f>
        <v>8010.6171414636028</v>
      </c>
      <c r="D37" s="6" t="s">
        <v>30</v>
      </c>
      <c r="E37" s="10">
        <f>C34-C38</f>
        <v>-5191.7482539682533</v>
      </c>
      <c r="F37" s="10">
        <f>E37+D34</f>
        <v>-4662.3474981103545</v>
      </c>
      <c r="G37" s="10">
        <f t="shared" ref="G37:S37" si="18">F37+E34</f>
        <v>-4158.156302055213</v>
      </c>
      <c r="H37" s="10">
        <f t="shared" si="18"/>
        <v>-3677.9742105741257</v>
      </c>
      <c r="I37" s="10">
        <f t="shared" si="18"/>
        <v>-3220.6579329730903</v>
      </c>
      <c r="J37" s="10">
        <f t="shared" si="18"/>
        <v>-2785.1186209721041</v>
      </c>
      <c r="K37" s="10">
        <f t="shared" si="18"/>
        <v>-2370.3192762092604</v>
      </c>
      <c r="L37" s="10">
        <f t="shared" si="18"/>
        <v>-1975.272281197028</v>
      </c>
      <c r="M37" s="10">
        <f t="shared" si="18"/>
        <v>-1599.0370478520449</v>
      </c>
      <c r="N37" s="10">
        <f t="shared" si="18"/>
        <v>-1240.71777799968</v>
      </c>
      <c r="O37" s="10">
        <f t="shared" si="18"/>
        <v>-899.4613305212373</v>
      </c>
      <c r="P37" s="10">
        <f t="shared" si="18"/>
        <v>-574.45519006557754</v>
      </c>
      <c r="Q37" s="10">
        <f t="shared" si="18"/>
        <v>-264.92553248875873</v>
      </c>
      <c r="R37" s="10">
        <f t="shared" si="18"/>
        <v>29.864617584402083</v>
      </c>
      <c r="S37" s="10">
        <f t="shared" si="18"/>
        <v>310.61714146360276</v>
      </c>
    </row>
    <row r="38" spans="2:27" x14ac:dyDescent="0.25">
      <c r="B38" s="7" t="s">
        <v>17</v>
      </c>
      <c r="C38" s="8">
        <f>C28</f>
        <v>7700</v>
      </c>
      <c r="D38" s="6"/>
    </row>
    <row r="39" spans="2:27" x14ac:dyDescent="0.25">
      <c r="B39" s="7" t="s">
        <v>18</v>
      </c>
      <c r="C39" s="8"/>
      <c r="D39" s="6"/>
    </row>
    <row r="40" spans="2:27" x14ac:dyDescent="0.25">
      <c r="B40" s="7" t="s">
        <v>14</v>
      </c>
      <c r="C40" s="8">
        <f>C37-C38</f>
        <v>310.61714146360282</v>
      </c>
      <c r="D40" s="6"/>
    </row>
    <row r="41" spans="2:27" x14ac:dyDescent="0.25">
      <c r="B41" s="7" t="s">
        <v>9</v>
      </c>
      <c r="C41" s="15">
        <f>(C40/C38)*100%</f>
        <v>4.0339888501766598E-2</v>
      </c>
      <c r="D41" s="151" t="s">
        <v>204</v>
      </c>
      <c r="E41" s="152"/>
      <c r="F41" s="15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.75" thickBot="1" x14ac:dyDescent="0.3">
      <c r="E42" s="10"/>
    </row>
    <row r="43" spans="2:27" x14ac:dyDescent="0.25">
      <c r="B43" s="83" t="s">
        <v>190</v>
      </c>
      <c r="C43" s="88"/>
    </row>
    <row r="44" spans="2:27" x14ac:dyDescent="0.25">
      <c r="B44" s="42" t="s">
        <v>151</v>
      </c>
      <c r="C44" s="43" t="s">
        <v>205</v>
      </c>
    </row>
    <row r="45" spans="2:27" x14ac:dyDescent="0.25">
      <c r="B45" s="42" t="s">
        <v>152</v>
      </c>
      <c r="C45" s="43" t="s">
        <v>201</v>
      </c>
    </row>
    <row r="46" spans="2:27" x14ac:dyDescent="0.25">
      <c r="B46" s="42"/>
      <c r="C46" s="45"/>
    </row>
    <row r="47" spans="2:27" x14ac:dyDescent="0.25">
      <c r="B47" s="84" t="s">
        <v>192</v>
      </c>
      <c r="C47" s="108"/>
    </row>
    <row r="48" spans="2:27" x14ac:dyDescent="0.25">
      <c r="B48" s="42" t="s">
        <v>153</v>
      </c>
      <c r="C48" s="43" t="s">
        <v>206</v>
      </c>
    </row>
    <row r="49" spans="2:3" ht="15.75" thickBot="1" x14ac:dyDescent="0.3">
      <c r="B49" s="46" t="s">
        <v>154</v>
      </c>
      <c r="C49" s="47" t="s">
        <v>207</v>
      </c>
    </row>
  </sheetData>
  <mergeCells count="1">
    <mergeCell ref="D41:F41"/>
  </mergeCells>
  <phoneticPr fontId="6" type="noConversion"/>
  <pageMargins left="0.7" right="0.7" top="0.75" bottom="0.75" header="0.3" footer="0.3"/>
  <ignoredErrors>
    <ignoredError sqref="C18:S18" formula="1"/>
  </ignoredErrors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27"/>
  <sheetViews>
    <sheetView workbookViewId="0">
      <selection activeCell="C7" sqref="C7"/>
    </sheetView>
  </sheetViews>
  <sheetFormatPr defaultRowHeight="15" x14ac:dyDescent="0.25"/>
  <cols>
    <col min="1" max="1" width="98.7109375" customWidth="1"/>
    <col min="2" max="2" width="14.28515625" customWidth="1"/>
    <col min="3" max="3" width="20.7109375" customWidth="1"/>
    <col min="4" max="4" width="24.7109375" customWidth="1"/>
    <col min="5" max="5" width="76.7109375" customWidth="1"/>
    <col min="6" max="6" width="48.140625" customWidth="1"/>
  </cols>
  <sheetData>
    <row r="1" spans="1:15" x14ac:dyDescent="0.25">
      <c r="A1" s="75" t="s">
        <v>289</v>
      </c>
      <c r="E1" t="s">
        <v>13</v>
      </c>
    </row>
    <row r="2" spans="1:15" x14ac:dyDescent="0.25">
      <c r="A2" s="74" t="s">
        <v>328</v>
      </c>
    </row>
    <row r="3" spans="1:15" ht="45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15" x14ac:dyDescent="0.25">
      <c r="B4" s="13"/>
    </row>
    <row r="5" spans="1:15" x14ac:dyDescent="0.25">
      <c r="A5" t="s">
        <v>86</v>
      </c>
      <c r="B5" s="97">
        <f>'BC WP boiler + PV'!C41</f>
        <v>4.0339888501766598E-2</v>
      </c>
      <c r="C5" s="86"/>
      <c r="D5" s="86"/>
      <c r="E5" t="s">
        <v>81</v>
      </c>
    </row>
    <row r="6" spans="1:15" x14ac:dyDescent="0.25">
      <c r="B6" s="97"/>
      <c r="C6" s="86"/>
      <c r="D6" s="86"/>
    </row>
    <row r="7" spans="1:15" ht="30" x14ac:dyDescent="0.25">
      <c r="A7" t="s">
        <v>127</v>
      </c>
      <c r="B7" s="86"/>
      <c r="C7" s="86">
        <f>'BC WP boiler + PV'!B2*0.6</f>
        <v>864.4799999999999</v>
      </c>
      <c r="D7" s="86"/>
      <c r="E7" s="103" t="s">
        <v>125</v>
      </c>
    </row>
    <row r="8" spans="1:15" x14ac:dyDescent="0.25">
      <c r="A8" t="s">
        <v>88</v>
      </c>
      <c r="B8" s="86"/>
      <c r="C8" s="86">
        <f>'BC WP boiler + PV'!B3*1.9</f>
        <v>978.5</v>
      </c>
      <c r="D8" s="86"/>
      <c r="E8" t="s">
        <v>124</v>
      </c>
    </row>
    <row r="9" spans="1:15" x14ac:dyDescent="0.25">
      <c r="A9" t="s">
        <v>89</v>
      </c>
      <c r="B9" s="86"/>
      <c r="C9" s="86">
        <f>C7+C8</f>
        <v>1842.98</v>
      </c>
      <c r="D9" s="86"/>
      <c r="E9" t="s">
        <v>126</v>
      </c>
    </row>
    <row r="10" spans="1:15" x14ac:dyDescent="0.25">
      <c r="B10" s="86"/>
      <c r="C10" s="86"/>
      <c r="D10" s="86"/>
    </row>
    <row r="11" spans="1:15" ht="30" x14ac:dyDescent="0.25">
      <c r="A11" t="s">
        <v>90</v>
      </c>
      <c r="B11" s="86"/>
      <c r="C11" s="86"/>
      <c r="D11" s="86" t="s">
        <v>202</v>
      </c>
      <c r="E11" s="55" t="s">
        <v>130</v>
      </c>
      <c r="F11" s="2" t="s">
        <v>159</v>
      </c>
    </row>
    <row r="12" spans="1:15" x14ac:dyDescent="0.25">
      <c r="B12" s="86"/>
      <c r="C12" s="86"/>
      <c r="D12" s="86"/>
      <c r="E12" t="s">
        <v>158</v>
      </c>
      <c r="F12" s="125" t="s">
        <v>106</v>
      </c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25">
      <c r="B13" s="86"/>
      <c r="C13" s="98"/>
      <c r="D13" s="86"/>
      <c r="E13" s="41"/>
      <c r="F13" s="25" t="s">
        <v>208</v>
      </c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25">
      <c r="A14" t="s">
        <v>209</v>
      </c>
      <c r="B14" s="86">
        <v>2</v>
      </c>
      <c r="C14" s="86">
        <v>4</v>
      </c>
      <c r="D14" s="86">
        <v>5</v>
      </c>
      <c r="E14" t="s">
        <v>132</v>
      </c>
      <c r="F14" s="117" t="s">
        <v>94</v>
      </c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25">
      <c r="A15" t="s">
        <v>210</v>
      </c>
      <c r="B15" s="86"/>
      <c r="C15" s="26"/>
      <c r="D15" s="86"/>
      <c r="E15" t="s">
        <v>82</v>
      </c>
      <c r="F15" s="117" t="s">
        <v>291</v>
      </c>
      <c r="G15" s="33"/>
      <c r="H15" s="33"/>
      <c r="I15" s="33"/>
      <c r="J15" s="33"/>
      <c r="K15" s="33"/>
      <c r="L15" s="33"/>
      <c r="M15" s="33"/>
      <c r="N15" s="33"/>
      <c r="O15" s="33"/>
    </row>
    <row r="16" spans="1:15" x14ac:dyDescent="0.25">
      <c r="B16" s="86"/>
      <c r="C16" s="26"/>
      <c r="D16" s="86"/>
      <c r="F16" s="16" t="s">
        <v>95</v>
      </c>
      <c r="G16" s="33"/>
      <c r="H16" s="33"/>
      <c r="I16" s="33"/>
      <c r="J16" s="33"/>
      <c r="K16" s="33"/>
      <c r="L16" s="33"/>
      <c r="M16" s="33"/>
      <c r="N16" s="33"/>
      <c r="O16" s="33"/>
    </row>
    <row r="17" spans="1:15" x14ac:dyDescent="0.25">
      <c r="A17" t="s">
        <v>131</v>
      </c>
      <c r="B17" s="99">
        <v>0.6</v>
      </c>
      <c r="C17" s="99">
        <v>0.1</v>
      </c>
      <c r="D17" s="99">
        <v>0.3</v>
      </c>
      <c r="E17" t="s">
        <v>84</v>
      </c>
      <c r="F17" s="48" t="s">
        <v>74</v>
      </c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8.75" x14ac:dyDescent="0.3">
      <c r="B18" s="99"/>
      <c r="C18" s="99"/>
      <c r="D18" s="99"/>
      <c r="E18" s="14"/>
      <c r="F18" s="16" t="s">
        <v>96</v>
      </c>
      <c r="G18" s="33"/>
      <c r="H18" s="33"/>
      <c r="I18" s="33"/>
      <c r="J18" s="33"/>
      <c r="K18" s="33"/>
      <c r="L18" s="33"/>
      <c r="M18" s="33"/>
      <c r="N18" s="33"/>
      <c r="O18" s="33"/>
    </row>
    <row r="19" spans="1:15" x14ac:dyDescent="0.25">
      <c r="A19" s="110" t="s">
        <v>128</v>
      </c>
      <c r="B19" s="115">
        <f>B14*B17+C14*C17+D14*D17</f>
        <v>3.1</v>
      </c>
      <c r="C19" s="86"/>
      <c r="D19" s="86"/>
      <c r="E19" t="s">
        <v>129</v>
      </c>
      <c r="F19" s="16" t="s">
        <v>97</v>
      </c>
      <c r="G19" s="33"/>
      <c r="H19" s="33"/>
      <c r="I19" s="33"/>
      <c r="J19" s="33"/>
      <c r="K19" s="33"/>
      <c r="L19" s="33"/>
      <c r="M19" s="33"/>
      <c r="N19" s="33"/>
      <c r="O19" s="33"/>
    </row>
    <row r="20" spans="1:15" x14ac:dyDescent="0.25">
      <c r="F20" s="48" t="s">
        <v>99</v>
      </c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5">
      <c r="F21" s="116" t="s">
        <v>312</v>
      </c>
      <c r="G21" s="33"/>
      <c r="H21" s="33"/>
      <c r="I21" s="33"/>
      <c r="J21" s="33"/>
      <c r="K21" s="33"/>
      <c r="L21" s="33"/>
      <c r="M21" s="33"/>
      <c r="N21" s="33"/>
      <c r="O21" s="33"/>
    </row>
    <row r="22" spans="1:15" x14ac:dyDescent="0.25">
      <c r="F22" s="48" t="s">
        <v>100</v>
      </c>
      <c r="G22" s="33"/>
      <c r="H22" s="33"/>
      <c r="I22" s="33"/>
      <c r="J22" s="33"/>
      <c r="K22" s="33"/>
      <c r="L22" s="33"/>
      <c r="M22" s="33"/>
      <c r="N22" s="33"/>
      <c r="O22" s="33"/>
    </row>
    <row r="23" spans="1:15" x14ac:dyDescent="0.25">
      <c r="F23" s="48" t="s">
        <v>101</v>
      </c>
      <c r="G23" s="33"/>
      <c r="H23" s="33"/>
      <c r="I23" s="33"/>
      <c r="J23" s="33"/>
      <c r="K23" s="33"/>
      <c r="L23" s="33"/>
      <c r="M23" s="33"/>
      <c r="N23" s="33"/>
      <c r="O23" s="33"/>
    </row>
    <row r="24" spans="1:15" x14ac:dyDescent="0.25">
      <c r="F24" s="48" t="s">
        <v>293</v>
      </c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5">
      <c r="F25" s="48" t="s">
        <v>311</v>
      </c>
      <c r="G25" s="33"/>
      <c r="H25" s="33"/>
      <c r="I25" s="33"/>
      <c r="J25" s="33"/>
      <c r="K25" s="33"/>
      <c r="L25" s="33"/>
      <c r="M25" s="33"/>
      <c r="N25" s="33"/>
      <c r="O25" s="33"/>
    </row>
    <row r="26" spans="1:15" x14ac:dyDescent="0.25">
      <c r="F26" s="48" t="s">
        <v>102</v>
      </c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5.75" x14ac:dyDescent="0.25">
      <c r="F27" s="32" t="s">
        <v>77</v>
      </c>
      <c r="G27" s="33"/>
      <c r="H27" s="33"/>
      <c r="I27" s="33"/>
      <c r="J27" s="33"/>
      <c r="K27" s="33"/>
      <c r="L27" s="33"/>
      <c r="M27" s="33"/>
      <c r="N27" s="33"/>
      <c r="O27" s="3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50"/>
  <sheetViews>
    <sheetView zoomScaleNormal="100" workbookViewId="0">
      <selection activeCell="B2" sqref="B2"/>
    </sheetView>
  </sheetViews>
  <sheetFormatPr defaultRowHeight="15" x14ac:dyDescent="0.25"/>
  <cols>
    <col min="1" max="1" width="17.28515625" bestFit="1" customWidth="1"/>
    <col min="2" max="2" width="85.85546875" customWidth="1"/>
    <col min="3" max="3" width="17.140625" customWidth="1"/>
    <col min="4" max="4" width="17.42578125" customWidth="1"/>
    <col min="5" max="5" width="13.28515625" customWidth="1"/>
    <col min="6" max="6" width="15.28515625" customWidth="1"/>
    <col min="7" max="7" width="16.28515625" customWidth="1"/>
    <col min="8" max="8" width="16.42578125" customWidth="1"/>
    <col min="9" max="9" width="16.7109375" customWidth="1"/>
    <col min="10" max="10" width="15.28515625" customWidth="1"/>
    <col min="11" max="12" width="15.7109375" customWidth="1"/>
    <col min="13" max="13" width="14.85546875" customWidth="1"/>
    <col min="14" max="14" width="15.28515625" customWidth="1"/>
    <col min="15" max="15" width="14.42578125" customWidth="1"/>
    <col min="16" max="16" width="15.42578125" customWidth="1"/>
    <col min="17" max="17" width="15" customWidth="1"/>
    <col min="18" max="18" width="15.5703125" customWidth="1"/>
    <col min="19" max="19" width="15" customWidth="1"/>
    <col min="20" max="23" width="15.28515625" customWidth="1"/>
    <col min="24" max="24" width="14.5703125" customWidth="1"/>
    <col min="25" max="25" width="72.7109375" customWidth="1"/>
    <col min="26" max="26" width="22.28515625" customWidth="1"/>
    <col min="27" max="27" width="19" customWidth="1"/>
    <col min="28" max="28" width="13.85546875" bestFit="1" customWidth="1"/>
    <col min="29" max="29" width="41.28515625" customWidth="1"/>
  </cols>
  <sheetData>
    <row r="1" spans="1:24" x14ac:dyDescent="0.25">
      <c r="B1" s="75" t="s">
        <v>172</v>
      </c>
      <c r="C1" s="76" t="s">
        <v>0</v>
      </c>
      <c r="D1" s="76" t="s">
        <v>226</v>
      </c>
      <c r="E1" s="76" t="s">
        <v>227</v>
      </c>
      <c r="F1" s="76" t="s">
        <v>228</v>
      </c>
      <c r="G1" s="76" t="s">
        <v>229</v>
      </c>
      <c r="H1" s="76" t="s">
        <v>230</v>
      </c>
      <c r="I1" s="76" t="s">
        <v>231</v>
      </c>
      <c r="J1" s="76" t="s">
        <v>232</v>
      </c>
      <c r="K1" s="76" t="s">
        <v>233</v>
      </c>
      <c r="L1" s="76" t="s">
        <v>234</v>
      </c>
      <c r="M1" s="76" t="s">
        <v>235</v>
      </c>
      <c r="N1" s="76" t="s">
        <v>236</v>
      </c>
      <c r="O1" s="76" t="s">
        <v>237</v>
      </c>
      <c r="P1" s="76" t="s">
        <v>238</v>
      </c>
      <c r="Q1" s="76" t="s">
        <v>239</v>
      </c>
      <c r="R1" s="76" t="s">
        <v>240</v>
      </c>
      <c r="S1" s="76" t="s">
        <v>241</v>
      </c>
      <c r="T1" s="76" t="s">
        <v>242</v>
      </c>
      <c r="U1" s="76" t="s">
        <v>243</v>
      </c>
      <c r="V1" s="76" t="s">
        <v>244</v>
      </c>
      <c r="W1" s="76" t="s">
        <v>245</v>
      </c>
      <c r="X1" s="76" t="s">
        <v>246</v>
      </c>
    </row>
    <row r="2" spans="1:24" x14ac:dyDescent="0.25">
      <c r="B2" s="2" t="s">
        <v>337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t="s">
        <v>307</v>
      </c>
      <c r="B3">
        <v>2000</v>
      </c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t="s">
        <v>308</v>
      </c>
      <c r="B4" s="34">
        <v>-200</v>
      </c>
      <c r="C4" s="54"/>
      <c r="D4" s="54"/>
      <c r="E4" s="54"/>
      <c r="F4" s="54"/>
      <c r="G4" s="54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x14ac:dyDescent="0.25">
      <c r="A5" t="s">
        <v>286</v>
      </c>
      <c r="B5" s="2">
        <v>0.25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t="s">
        <v>287</v>
      </c>
      <c r="B6" s="2">
        <v>0.5</v>
      </c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B7" s="28" t="s">
        <v>313</v>
      </c>
      <c r="C7" s="5">
        <f>$B3*$B5</f>
        <v>500</v>
      </c>
      <c r="D7" s="5">
        <f t="shared" ref="D7:V7" si="0">$B3*$B5</f>
        <v>500</v>
      </c>
      <c r="E7" s="5">
        <f t="shared" si="0"/>
        <v>500</v>
      </c>
      <c r="F7" s="5">
        <f t="shared" si="0"/>
        <v>500</v>
      </c>
      <c r="G7" s="5">
        <f t="shared" si="0"/>
        <v>500</v>
      </c>
      <c r="H7" s="5">
        <f t="shared" si="0"/>
        <v>500</v>
      </c>
      <c r="I7" s="5">
        <f t="shared" si="0"/>
        <v>500</v>
      </c>
      <c r="J7" s="5">
        <f t="shared" si="0"/>
        <v>500</v>
      </c>
      <c r="K7" s="5">
        <f t="shared" si="0"/>
        <v>500</v>
      </c>
      <c r="L7" s="5">
        <f t="shared" si="0"/>
        <v>500</v>
      </c>
      <c r="M7" s="5">
        <f t="shared" si="0"/>
        <v>500</v>
      </c>
      <c r="N7" s="5">
        <f t="shared" si="0"/>
        <v>500</v>
      </c>
      <c r="O7" s="5">
        <f t="shared" si="0"/>
        <v>500</v>
      </c>
      <c r="P7" s="5">
        <f t="shared" si="0"/>
        <v>500</v>
      </c>
      <c r="Q7" s="5">
        <f t="shared" si="0"/>
        <v>500</v>
      </c>
      <c r="R7" s="5">
        <f t="shared" si="0"/>
        <v>500</v>
      </c>
      <c r="S7" s="5">
        <f t="shared" si="0"/>
        <v>500</v>
      </c>
      <c r="T7" s="5">
        <f t="shared" si="0"/>
        <v>500</v>
      </c>
      <c r="U7" s="5">
        <f t="shared" si="0"/>
        <v>500</v>
      </c>
      <c r="V7" s="5">
        <f t="shared" si="0"/>
        <v>500</v>
      </c>
      <c r="W7" s="5">
        <v>0</v>
      </c>
      <c r="X7" s="5">
        <v>0</v>
      </c>
    </row>
    <row r="8" spans="1:24" ht="30" x14ac:dyDescent="0.25">
      <c r="B8" s="55" t="s">
        <v>42</v>
      </c>
      <c r="C8" s="6">
        <f>-$B4*$B6</f>
        <v>100</v>
      </c>
      <c r="D8" s="6">
        <f t="shared" ref="D8:V8" si="1">-$B4*$B6</f>
        <v>100</v>
      </c>
      <c r="E8" s="6">
        <f t="shared" si="1"/>
        <v>100</v>
      </c>
      <c r="F8" s="6">
        <f t="shared" si="1"/>
        <v>100</v>
      </c>
      <c r="G8" s="6">
        <f t="shared" si="1"/>
        <v>100</v>
      </c>
      <c r="H8" s="6">
        <f t="shared" si="1"/>
        <v>100</v>
      </c>
      <c r="I8" s="6">
        <f t="shared" si="1"/>
        <v>100</v>
      </c>
      <c r="J8" s="6">
        <f t="shared" si="1"/>
        <v>100</v>
      </c>
      <c r="K8" s="6">
        <f t="shared" si="1"/>
        <v>100</v>
      </c>
      <c r="L8" s="6">
        <f t="shared" si="1"/>
        <v>100</v>
      </c>
      <c r="M8" s="6">
        <f t="shared" si="1"/>
        <v>100</v>
      </c>
      <c r="N8" s="6">
        <f t="shared" si="1"/>
        <v>100</v>
      </c>
      <c r="O8" s="6">
        <f t="shared" si="1"/>
        <v>100</v>
      </c>
      <c r="P8" s="6">
        <f t="shared" si="1"/>
        <v>100</v>
      </c>
      <c r="Q8" s="6">
        <f t="shared" si="1"/>
        <v>100</v>
      </c>
      <c r="R8" s="6">
        <f t="shared" si="1"/>
        <v>100</v>
      </c>
      <c r="S8" s="6">
        <f t="shared" si="1"/>
        <v>100</v>
      </c>
      <c r="T8" s="6">
        <f t="shared" si="1"/>
        <v>100</v>
      </c>
      <c r="U8" s="6">
        <f t="shared" si="1"/>
        <v>100</v>
      </c>
      <c r="V8" s="6">
        <f t="shared" si="1"/>
        <v>100</v>
      </c>
      <c r="W8" s="6">
        <v>0</v>
      </c>
      <c r="X8" s="6">
        <v>0</v>
      </c>
    </row>
    <row r="9" spans="1:24" x14ac:dyDescent="0.25">
      <c r="B9" t="s">
        <v>36</v>
      </c>
      <c r="C9" s="6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</row>
    <row r="10" spans="1:24" ht="30" x14ac:dyDescent="0.25">
      <c r="B10" s="55" t="s">
        <v>25</v>
      </c>
      <c r="C10" s="6">
        <v>25</v>
      </c>
      <c r="D10" s="6">
        <v>25</v>
      </c>
      <c r="E10" s="6">
        <v>25</v>
      </c>
      <c r="F10" s="6">
        <v>25</v>
      </c>
      <c r="G10" s="6">
        <v>25</v>
      </c>
      <c r="H10" s="6">
        <v>25</v>
      </c>
      <c r="I10" s="6">
        <v>25</v>
      </c>
      <c r="J10" s="6">
        <v>25</v>
      </c>
      <c r="K10" s="6">
        <v>25</v>
      </c>
      <c r="L10" s="6">
        <v>25</v>
      </c>
      <c r="M10" s="6">
        <v>25</v>
      </c>
      <c r="N10" s="6">
        <v>25</v>
      </c>
      <c r="O10" s="6">
        <v>25</v>
      </c>
      <c r="P10" s="6">
        <v>25</v>
      </c>
      <c r="Q10" s="6">
        <v>25</v>
      </c>
      <c r="R10" s="6">
        <v>25</v>
      </c>
      <c r="S10" s="6">
        <v>25</v>
      </c>
      <c r="T10" s="6">
        <v>25</v>
      </c>
      <c r="U10" s="6">
        <v>25</v>
      </c>
      <c r="V10" s="6">
        <v>25</v>
      </c>
      <c r="W10" s="6">
        <v>0</v>
      </c>
      <c r="X10" s="6">
        <v>0</v>
      </c>
    </row>
    <row r="11" spans="1:24" x14ac:dyDescent="0.25">
      <c r="B11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x14ac:dyDescent="0.25">
      <c r="B12" t="s">
        <v>21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B13" s="1" t="s">
        <v>1</v>
      </c>
      <c r="C13" s="5">
        <f>C7-SUM(C8:C12)</f>
        <v>375</v>
      </c>
      <c r="D13" s="5">
        <f>D7-SUM(D8:D12)</f>
        <v>375</v>
      </c>
      <c r="E13" s="5">
        <f>E7-SUM(E8:E12)</f>
        <v>375</v>
      </c>
      <c r="F13" s="5">
        <f>F7-SUM(F8:F12)</f>
        <v>375</v>
      </c>
      <c r="G13" s="5">
        <f>G7-SUM(G8:G12)</f>
        <v>375</v>
      </c>
      <c r="H13" s="5">
        <f t="shared" ref="H13:X13" si="2">H7-SUM(H8:H12)</f>
        <v>375</v>
      </c>
      <c r="I13" s="5">
        <f t="shared" si="2"/>
        <v>375</v>
      </c>
      <c r="J13" s="5">
        <f t="shared" si="2"/>
        <v>375</v>
      </c>
      <c r="K13" s="5">
        <f t="shared" si="2"/>
        <v>375</v>
      </c>
      <c r="L13" s="5">
        <f t="shared" si="2"/>
        <v>375</v>
      </c>
      <c r="M13" s="5">
        <f t="shared" si="2"/>
        <v>375</v>
      </c>
      <c r="N13" s="5">
        <f t="shared" si="2"/>
        <v>375</v>
      </c>
      <c r="O13" s="5">
        <f t="shared" si="2"/>
        <v>375</v>
      </c>
      <c r="P13" s="5">
        <f t="shared" si="2"/>
        <v>375</v>
      </c>
      <c r="Q13" s="5">
        <f t="shared" si="2"/>
        <v>375</v>
      </c>
      <c r="R13" s="5">
        <f t="shared" si="2"/>
        <v>375</v>
      </c>
      <c r="S13" s="5">
        <f t="shared" si="2"/>
        <v>375</v>
      </c>
      <c r="T13" s="5">
        <f t="shared" si="2"/>
        <v>375</v>
      </c>
      <c r="U13" s="5">
        <f t="shared" si="2"/>
        <v>375</v>
      </c>
      <c r="V13" s="5">
        <f t="shared" si="2"/>
        <v>375</v>
      </c>
      <c r="W13" s="5">
        <f t="shared" si="2"/>
        <v>0</v>
      </c>
      <c r="X13" s="5">
        <f t="shared" si="2"/>
        <v>0</v>
      </c>
    </row>
    <row r="14" spans="1:24" x14ac:dyDescent="0.25">
      <c r="B14" s="58" t="s">
        <v>38</v>
      </c>
      <c r="C14" s="6">
        <f>$C28/20</f>
        <v>250</v>
      </c>
      <c r="D14" s="6">
        <f t="shared" ref="D14:V14" si="3">$C28/20</f>
        <v>250</v>
      </c>
      <c r="E14" s="6">
        <f t="shared" si="3"/>
        <v>250</v>
      </c>
      <c r="F14" s="6">
        <f t="shared" si="3"/>
        <v>250</v>
      </c>
      <c r="G14" s="6">
        <f t="shared" si="3"/>
        <v>250</v>
      </c>
      <c r="H14" s="6">
        <f t="shared" si="3"/>
        <v>250</v>
      </c>
      <c r="I14" s="6">
        <f t="shared" si="3"/>
        <v>250</v>
      </c>
      <c r="J14" s="6">
        <f t="shared" si="3"/>
        <v>250</v>
      </c>
      <c r="K14" s="6">
        <f t="shared" si="3"/>
        <v>250</v>
      </c>
      <c r="L14" s="6">
        <f t="shared" si="3"/>
        <v>250</v>
      </c>
      <c r="M14" s="6">
        <f t="shared" si="3"/>
        <v>250</v>
      </c>
      <c r="N14" s="6">
        <f t="shared" si="3"/>
        <v>250</v>
      </c>
      <c r="O14" s="6">
        <f t="shared" si="3"/>
        <v>250</v>
      </c>
      <c r="P14" s="6">
        <f t="shared" si="3"/>
        <v>250</v>
      </c>
      <c r="Q14" s="6">
        <f t="shared" si="3"/>
        <v>250</v>
      </c>
      <c r="R14" s="6">
        <f t="shared" si="3"/>
        <v>250</v>
      </c>
      <c r="S14" s="6">
        <f t="shared" si="3"/>
        <v>250</v>
      </c>
      <c r="T14" s="6">
        <f t="shared" si="3"/>
        <v>250</v>
      </c>
      <c r="U14" s="6">
        <f t="shared" si="3"/>
        <v>250</v>
      </c>
      <c r="V14" s="6">
        <f t="shared" si="3"/>
        <v>250</v>
      </c>
      <c r="W14" s="6">
        <v>0</v>
      </c>
      <c r="X14" s="6">
        <v>0</v>
      </c>
    </row>
    <row r="15" spans="1:24" x14ac:dyDescent="0.25">
      <c r="B15" s="1" t="s">
        <v>2</v>
      </c>
      <c r="C15" s="5">
        <f t="shared" ref="C15:H15" si="4">C13-C14</f>
        <v>125</v>
      </c>
      <c r="D15" s="5">
        <f t="shared" si="4"/>
        <v>125</v>
      </c>
      <c r="E15" s="5">
        <f t="shared" si="4"/>
        <v>125</v>
      </c>
      <c r="F15" s="5">
        <f t="shared" si="4"/>
        <v>125</v>
      </c>
      <c r="G15" s="5">
        <f t="shared" si="4"/>
        <v>125</v>
      </c>
      <c r="H15" s="5">
        <f t="shared" si="4"/>
        <v>125</v>
      </c>
      <c r="I15" s="5">
        <f t="shared" ref="I15:X15" si="5">I13-I14</f>
        <v>125</v>
      </c>
      <c r="J15" s="5">
        <f t="shared" si="5"/>
        <v>125</v>
      </c>
      <c r="K15" s="5">
        <f t="shared" si="5"/>
        <v>125</v>
      </c>
      <c r="L15" s="5">
        <f t="shared" si="5"/>
        <v>125</v>
      </c>
      <c r="M15" s="5">
        <f t="shared" si="5"/>
        <v>125</v>
      </c>
      <c r="N15" s="5">
        <f t="shared" si="5"/>
        <v>125</v>
      </c>
      <c r="O15" s="5">
        <f t="shared" si="5"/>
        <v>125</v>
      </c>
      <c r="P15" s="5">
        <f t="shared" si="5"/>
        <v>125</v>
      </c>
      <c r="Q15" s="5">
        <f t="shared" si="5"/>
        <v>125</v>
      </c>
      <c r="R15" s="5">
        <f t="shared" si="5"/>
        <v>125</v>
      </c>
      <c r="S15" s="5">
        <f t="shared" si="5"/>
        <v>125</v>
      </c>
      <c r="T15" s="5">
        <f t="shared" si="5"/>
        <v>125</v>
      </c>
      <c r="U15" s="5">
        <f t="shared" si="5"/>
        <v>125</v>
      </c>
      <c r="V15" s="5">
        <f t="shared" si="5"/>
        <v>125</v>
      </c>
      <c r="W15" s="5">
        <f t="shared" si="5"/>
        <v>0</v>
      </c>
      <c r="X15" s="5">
        <f t="shared" si="5"/>
        <v>0</v>
      </c>
    </row>
    <row r="16" spans="1:24" ht="30" x14ac:dyDescent="0.25">
      <c r="B16" s="55" t="s">
        <v>34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</row>
    <row r="17" spans="2:24" x14ac:dyDescent="0.25">
      <c r="B17" s="1" t="s">
        <v>3</v>
      </c>
      <c r="C17" s="5">
        <f t="shared" ref="C17:H17" si="6">C15-C16</f>
        <v>125</v>
      </c>
      <c r="D17" s="5">
        <f t="shared" si="6"/>
        <v>125</v>
      </c>
      <c r="E17" s="5">
        <f t="shared" si="6"/>
        <v>125</v>
      </c>
      <c r="F17" s="5">
        <f t="shared" si="6"/>
        <v>125</v>
      </c>
      <c r="G17" s="5">
        <f t="shared" si="6"/>
        <v>125</v>
      </c>
      <c r="H17" s="5">
        <f t="shared" si="6"/>
        <v>125</v>
      </c>
      <c r="I17" s="5">
        <f t="shared" ref="I17:X17" si="7">I15-I16</f>
        <v>125</v>
      </c>
      <c r="J17" s="5">
        <f t="shared" si="7"/>
        <v>125</v>
      </c>
      <c r="K17" s="5">
        <f t="shared" si="7"/>
        <v>125</v>
      </c>
      <c r="L17" s="5">
        <f t="shared" si="7"/>
        <v>125</v>
      </c>
      <c r="M17" s="5">
        <f t="shared" si="7"/>
        <v>125</v>
      </c>
      <c r="N17" s="5">
        <f t="shared" si="7"/>
        <v>125</v>
      </c>
      <c r="O17" s="5">
        <f t="shared" si="7"/>
        <v>125</v>
      </c>
      <c r="P17" s="5">
        <f t="shared" si="7"/>
        <v>125</v>
      </c>
      <c r="Q17" s="5">
        <f t="shared" si="7"/>
        <v>125</v>
      </c>
      <c r="R17" s="5">
        <f t="shared" si="7"/>
        <v>125</v>
      </c>
      <c r="S17" s="5">
        <f t="shared" si="7"/>
        <v>125</v>
      </c>
      <c r="T17" s="5">
        <f t="shared" si="7"/>
        <v>125</v>
      </c>
      <c r="U17" s="5">
        <f t="shared" si="7"/>
        <v>125</v>
      </c>
      <c r="V17" s="5">
        <f t="shared" si="7"/>
        <v>125</v>
      </c>
      <c r="W17" s="5">
        <f t="shared" si="7"/>
        <v>0</v>
      </c>
      <c r="X17" s="5">
        <f t="shared" si="7"/>
        <v>0</v>
      </c>
    </row>
    <row r="18" spans="2:24" x14ac:dyDescent="0.25">
      <c r="B18" t="s">
        <v>174</v>
      </c>
      <c r="C18" s="6">
        <f>0.25*C17</f>
        <v>31.25</v>
      </c>
      <c r="D18" s="6">
        <f t="shared" ref="D18:V18" si="8">0.25*D17</f>
        <v>31.25</v>
      </c>
      <c r="E18" s="6">
        <f t="shared" si="8"/>
        <v>31.25</v>
      </c>
      <c r="F18" s="6">
        <f t="shared" si="8"/>
        <v>31.25</v>
      </c>
      <c r="G18" s="6">
        <f t="shared" si="8"/>
        <v>31.25</v>
      </c>
      <c r="H18" s="6">
        <f t="shared" si="8"/>
        <v>31.25</v>
      </c>
      <c r="I18" s="6">
        <f t="shared" si="8"/>
        <v>31.25</v>
      </c>
      <c r="J18" s="6">
        <f t="shared" si="8"/>
        <v>31.25</v>
      </c>
      <c r="K18" s="6">
        <f t="shared" si="8"/>
        <v>31.25</v>
      </c>
      <c r="L18" s="6">
        <f t="shared" si="8"/>
        <v>31.25</v>
      </c>
      <c r="M18" s="6">
        <f t="shared" si="8"/>
        <v>31.25</v>
      </c>
      <c r="N18" s="6">
        <f t="shared" si="8"/>
        <v>31.25</v>
      </c>
      <c r="O18" s="6">
        <f t="shared" si="8"/>
        <v>31.25</v>
      </c>
      <c r="P18" s="6">
        <f t="shared" si="8"/>
        <v>31.25</v>
      </c>
      <c r="Q18" s="6">
        <f t="shared" si="8"/>
        <v>31.25</v>
      </c>
      <c r="R18" s="6">
        <f t="shared" si="8"/>
        <v>31.25</v>
      </c>
      <c r="S18" s="6">
        <f t="shared" si="8"/>
        <v>31.25</v>
      </c>
      <c r="T18" s="6">
        <f t="shared" si="8"/>
        <v>31.25</v>
      </c>
      <c r="U18" s="6">
        <f t="shared" si="8"/>
        <v>31.25</v>
      </c>
      <c r="V18" s="6">
        <f t="shared" si="8"/>
        <v>31.25</v>
      </c>
      <c r="W18" s="6">
        <f t="shared" ref="W18:X18" si="9">0.25*W17</f>
        <v>0</v>
      </c>
      <c r="X18" s="6">
        <f t="shared" si="9"/>
        <v>0</v>
      </c>
    </row>
    <row r="19" spans="2:24" x14ac:dyDescent="0.25">
      <c r="B19" s="1" t="s">
        <v>4</v>
      </c>
      <c r="C19" s="5">
        <f t="shared" ref="C19:H19" si="10">C17-C18</f>
        <v>93.75</v>
      </c>
      <c r="D19" s="5">
        <f t="shared" si="10"/>
        <v>93.75</v>
      </c>
      <c r="E19" s="5">
        <f t="shared" si="10"/>
        <v>93.75</v>
      </c>
      <c r="F19" s="5">
        <f t="shared" si="10"/>
        <v>93.75</v>
      </c>
      <c r="G19" s="5">
        <f t="shared" si="10"/>
        <v>93.75</v>
      </c>
      <c r="H19" s="5">
        <f t="shared" si="10"/>
        <v>93.75</v>
      </c>
      <c r="I19" s="5">
        <f t="shared" ref="I19:X19" si="11">I17-I18</f>
        <v>93.75</v>
      </c>
      <c r="J19" s="5">
        <f t="shared" si="11"/>
        <v>93.75</v>
      </c>
      <c r="K19" s="5">
        <f t="shared" si="11"/>
        <v>93.75</v>
      </c>
      <c r="L19" s="5">
        <f t="shared" si="11"/>
        <v>93.75</v>
      </c>
      <c r="M19" s="5">
        <f t="shared" si="11"/>
        <v>93.75</v>
      </c>
      <c r="N19" s="5">
        <f t="shared" si="11"/>
        <v>93.75</v>
      </c>
      <c r="O19" s="5">
        <f t="shared" si="11"/>
        <v>93.75</v>
      </c>
      <c r="P19" s="5">
        <f t="shared" si="11"/>
        <v>93.75</v>
      </c>
      <c r="Q19" s="5">
        <f t="shared" si="11"/>
        <v>93.75</v>
      </c>
      <c r="R19" s="5">
        <f t="shared" si="11"/>
        <v>93.75</v>
      </c>
      <c r="S19" s="5">
        <f t="shared" si="11"/>
        <v>93.75</v>
      </c>
      <c r="T19" s="5">
        <f t="shared" si="11"/>
        <v>93.75</v>
      </c>
      <c r="U19" s="5">
        <f t="shared" si="11"/>
        <v>93.75</v>
      </c>
      <c r="V19" s="5">
        <f t="shared" si="11"/>
        <v>93.75</v>
      </c>
      <c r="W19" s="5">
        <f t="shared" si="11"/>
        <v>0</v>
      </c>
      <c r="X19" s="5">
        <f t="shared" si="11"/>
        <v>0</v>
      </c>
    </row>
    <row r="20" spans="2:24" x14ac:dyDescent="0.25">
      <c r="B20" s="2" t="s">
        <v>35</v>
      </c>
      <c r="C20" s="6">
        <f>C14</f>
        <v>250</v>
      </c>
      <c r="D20" s="6">
        <f>D14</f>
        <v>250</v>
      </c>
      <c r="E20" s="6">
        <f>E14</f>
        <v>250</v>
      </c>
      <c r="F20" s="6">
        <f>F14</f>
        <v>250</v>
      </c>
      <c r="G20" s="6">
        <f>G14</f>
        <v>250</v>
      </c>
      <c r="H20" s="6">
        <f t="shared" ref="H20:X20" si="12">H14</f>
        <v>250</v>
      </c>
      <c r="I20" s="6">
        <f t="shared" si="12"/>
        <v>250</v>
      </c>
      <c r="J20" s="6">
        <f t="shared" si="12"/>
        <v>250</v>
      </c>
      <c r="K20" s="6">
        <f t="shared" si="12"/>
        <v>250</v>
      </c>
      <c r="L20" s="6">
        <f t="shared" si="12"/>
        <v>250</v>
      </c>
      <c r="M20" s="6">
        <f t="shared" si="12"/>
        <v>250</v>
      </c>
      <c r="N20" s="6">
        <f t="shared" si="12"/>
        <v>250</v>
      </c>
      <c r="O20" s="6">
        <f t="shared" si="12"/>
        <v>250</v>
      </c>
      <c r="P20" s="6">
        <f t="shared" si="12"/>
        <v>250</v>
      </c>
      <c r="Q20" s="6">
        <f t="shared" si="12"/>
        <v>250</v>
      </c>
      <c r="R20" s="6">
        <f t="shared" si="12"/>
        <v>250</v>
      </c>
      <c r="S20" s="6">
        <f t="shared" si="12"/>
        <v>250</v>
      </c>
      <c r="T20" s="6">
        <f t="shared" si="12"/>
        <v>250</v>
      </c>
      <c r="U20" s="6">
        <f t="shared" si="12"/>
        <v>250</v>
      </c>
      <c r="V20" s="6">
        <f t="shared" si="12"/>
        <v>250</v>
      </c>
      <c r="W20" s="6">
        <f t="shared" si="12"/>
        <v>0</v>
      </c>
      <c r="X20" s="6">
        <f t="shared" si="12"/>
        <v>0</v>
      </c>
    </row>
    <row r="21" spans="2:24" x14ac:dyDescent="0.25">
      <c r="B21" s="2" t="s">
        <v>39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</row>
    <row r="22" spans="2:24" s="2" customFormat="1" ht="30" x14ac:dyDescent="0.25">
      <c r="B22" s="57" t="s">
        <v>116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2:24" s="2" customFormat="1" x14ac:dyDescent="0.25">
      <c r="B23" s="2" t="s">
        <v>33</v>
      </c>
      <c r="C23" s="12">
        <f>C28*0.5</f>
        <v>2500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2:24" s="1" customFormat="1" x14ac:dyDescent="0.25">
      <c r="B24" s="1" t="s">
        <v>5</v>
      </c>
      <c r="C24" s="5">
        <f t="shared" ref="C24:H24" si="13">C19+SUM(C20:C23)</f>
        <v>2843.75</v>
      </c>
      <c r="D24" s="5">
        <f t="shared" si="13"/>
        <v>343.75</v>
      </c>
      <c r="E24" s="5">
        <f t="shared" si="13"/>
        <v>343.75</v>
      </c>
      <c r="F24" s="5">
        <f t="shared" si="13"/>
        <v>343.75</v>
      </c>
      <c r="G24" s="5">
        <f t="shared" si="13"/>
        <v>343.75</v>
      </c>
      <c r="H24" s="5">
        <f t="shared" si="13"/>
        <v>343.75</v>
      </c>
      <c r="I24" s="5">
        <f t="shared" ref="I24:X24" si="14">I19+SUM(I20:I23)</f>
        <v>343.75</v>
      </c>
      <c r="J24" s="5">
        <f t="shared" si="14"/>
        <v>343.75</v>
      </c>
      <c r="K24" s="5">
        <f t="shared" si="14"/>
        <v>343.75</v>
      </c>
      <c r="L24" s="5">
        <f t="shared" si="14"/>
        <v>343.75</v>
      </c>
      <c r="M24" s="5">
        <f t="shared" si="14"/>
        <v>343.75</v>
      </c>
      <c r="N24" s="5">
        <f t="shared" si="14"/>
        <v>343.75</v>
      </c>
      <c r="O24" s="5">
        <f t="shared" si="14"/>
        <v>343.75</v>
      </c>
      <c r="P24" s="5">
        <f t="shared" si="14"/>
        <v>343.75</v>
      </c>
      <c r="Q24" s="5">
        <f t="shared" si="14"/>
        <v>343.75</v>
      </c>
      <c r="R24" s="5">
        <f t="shared" si="14"/>
        <v>343.75</v>
      </c>
      <c r="S24" s="5">
        <f t="shared" si="14"/>
        <v>343.75</v>
      </c>
      <c r="T24" s="5">
        <f t="shared" si="14"/>
        <v>343.75</v>
      </c>
      <c r="U24" s="5">
        <f t="shared" si="14"/>
        <v>343.75</v>
      </c>
      <c r="V24" s="5">
        <f t="shared" si="14"/>
        <v>343.75</v>
      </c>
      <c r="W24" s="5">
        <f t="shared" si="14"/>
        <v>0</v>
      </c>
      <c r="X24" s="5">
        <f t="shared" si="14"/>
        <v>0</v>
      </c>
    </row>
    <row r="25" spans="2:24" s="1" customFormat="1" x14ac:dyDescent="0.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4" s="147" customFormat="1" x14ac:dyDescent="0.25">
      <c r="B26" s="114" t="s">
        <v>27</v>
      </c>
      <c r="C26" s="114"/>
      <c r="D26" s="123" t="s">
        <v>44</v>
      </c>
      <c r="E26" s="90" t="s">
        <v>0</v>
      </c>
      <c r="F26" s="90" t="s">
        <v>226</v>
      </c>
      <c r="G26" s="90" t="s">
        <v>227</v>
      </c>
      <c r="H26" s="90" t="s">
        <v>228</v>
      </c>
      <c r="I26" s="90" t="s">
        <v>229</v>
      </c>
      <c r="J26" s="90" t="s">
        <v>230</v>
      </c>
      <c r="K26" s="90" t="s">
        <v>231</v>
      </c>
      <c r="L26" s="90" t="s">
        <v>232</v>
      </c>
      <c r="M26" s="90" t="s">
        <v>233</v>
      </c>
      <c r="N26" s="90" t="s">
        <v>234</v>
      </c>
      <c r="O26" s="90" t="s">
        <v>235</v>
      </c>
      <c r="P26" s="90" t="s">
        <v>236</v>
      </c>
      <c r="Q26" s="90" t="s">
        <v>237</v>
      </c>
      <c r="R26" s="90" t="s">
        <v>238</v>
      </c>
      <c r="S26" s="90" t="s">
        <v>239</v>
      </c>
      <c r="T26" s="90" t="s">
        <v>240</v>
      </c>
      <c r="U26" s="90" t="s">
        <v>241</v>
      </c>
      <c r="V26" s="90" t="s">
        <v>242</v>
      </c>
      <c r="W26" s="90" t="s">
        <v>243</v>
      </c>
      <c r="X26" s="90" t="s">
        <v>244</v>
      </c>
    </row>
    <row r="27" spans="2:24" x14ac:dyDescent="0.25">
      <c r="B27" s="7" t="s">
        <v>41</v>
      </c>
      <c r="C27" s="8">
        <f>SUM(C24:V24)</f>
        <v>9375</v>
      </c>
      <c r="D27" s="6" t="s">
        <v>29</v>
      </c>
      <c r="E27" s="10">
        <f>C24-C28</f>
        <v>-2156.25</v>
      </c>
      <c r="F27" s="10">
        <f>E27+D24</f>
        <v>-1812.5</v>
      </c>
      <c r="G27" s="10">
        <f t="shared" ref="G27:I27" si="15">F27+E24</f>
        <v>-1468.75</v>
      </c>
      <c r="H27" s="10">
        <f t="shared" si="15"/>
        <v>-1125</v>
      </c>
      <c r="I27" s="10">
        <f t="shared" si="15"/>
        <v>-781.25</v>
      </c>
      <c r="J27" s="10">
        <f t="shared" ref="J27" si="16">I27+H24</f>
        <v>-437.5</v>
      </c>
      <c r="K27" s="10">
        <f t="shared" ref="K27" si="17">J27+I24</f>
        <v>-93.75</v>
      </c>
      <c r="L27" s="10">
        <f t="shared" ref="L27" si="18">K27+J24</f>
        <v>250</v>
      </c>
      <c r="M27" s="10">
        <f t="shared" ref="M27" si="19">L27+K24</f>
        <v>593.75</v>
      </c>
      <c r="N27" s="10">
        <f t="shared" ref="N27" si="20">M27+L24</f>
        <v>937.5</v>
      </c>
      <c r="O27" s="10">
        <f t="shared" ref="O27" si="21">N27+M24</f>
        <v>1281.25</v>
      </c>
      <c r="P27" s="10">
        <f t="shared" ref="P27" si="22">O27+N24</f>
        <v>1625</v>
      </c>
      <c r="Q27" s="10">
        <f t="shared" ref="Q27" si="23">P27+O24</f>
        <v>1968.75</v>
      </c>
      <c r="R27" s="10">
        <f t="shared" ref="R27" si="24">Q27+P24</f>
        <v>2312.5</v>
      </c>
      <c r="S27" s="10">
        <f t="shared" ref="S27" si="25">R27+Q24</f>
        <v>2656.25</v>
      </c>
      <c r="T27" s="10">
        <f t="shared" ref="T27" si="26">S27+R24</f>
        <v>3000</v>
      </c>
      <c r="U27" s="10">
        <f t="shared" ref="U27" si="27">T27+S24</f>
        <v>3343.75</v>
      </c>
      <c r="V27" s="10">
        <f t="shared" ref="V27" si="28">U27+T24</f>
        <v>3687.5</v>
      </c>
      <c r="W27" s="10">
        <f t="shared" ref="W27" si="29">V27+U24</f>
        <v>4031.25</v>
      </c>
      <c r="X27" s="10">
        <f t="shared" ref="X27" si="30">W27+V24</f>
        <v>4375</v>
      </c>
    </row>
    <row r="28" spans="2:24" x14ac:dyDescent="0.25">
      <c r="B28" s="7" t="s">
        <v>32</v>
      </c>
      <c r="C28" s="8">
        <v>5000</v>
      </c>
      <c r="D28" s="5"/>
      <c r="G28" t="s">
        <v>279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25">
      <c r="B29" s="7" t="s">
        <v>18</v>
      </c>
      <c r="C29" s="8"/>
      <c r="D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x14ac:dyDescent="0.25">
      <c r="B30" s="7" t="s">
        <v>8</v>
      </c>
      <c r="C30" s="8">
        <f>C27-C28</f>
        <v>4375</v>
      </c>
      <c r="D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2:24" s="1" customFormat="1" x14ac:dyDescent="0.25">
      <c r="B31" s="29" t="s">
        <v>10</v>
      </c>
      <c r="C31" s="15">
        <f>C30/C28*100%</f>
        <v>0.875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2:24" x14ac:dyDescent="0.25">
      <c r="B32" s="19"/>
      <c r="C32" s="2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2:24" x14ac:dyDescent="0.25">
      <c r="B33" s="6"/>
      <c r="C33" s="5"/>
      <c r="D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x14ac:dyDescent="0.25">
      <c r="B34" t="s">
        <v>31</v>
      </c>
      <c r="C34" s="4">
        <v>0.05</v>
      </c>
      <c r="D34" s="6"/>
      <c r="E34" s="6"/>
    </row>
    <row r="35" spans="2:24" s="1" customFormat="1" x14ac:dyDescent="0.25">
      <c r="B35" s="1" t="s">
        <v>6</v>
      </c>
      <c r="C35" s="5">
        <f>C24/(1+$C34)</f>
        <v>2708.333333333333</v>
      </c>
      <c r="D35" s="5">
        <f>D24/(1+$C34)^2</f>
        <v>311.79138321995464</v>
      </c>
      <c r="E35" s="5">
        <f>E24/(1+$C34)^3</f>
        <v>296.94417449519489</v>
      </c>
      <c r="F35" s="5">
        <f>F24/(1+$C34)^4</f>
        <v>282.80397570970945</v>
      </c>
      <c r="G35" s="5">
        <f>G24/(1+$C34)^5</f>
        <v>269.33711972353274</v>
      </c>
      <c r="H35" s="5">
        <f>H24/(1+$C34)^6</f>
        <v>256.51154259384077</v>
      </c>
      <c r="I35" s="5">
        <f>I24/(1+$C34)^7</f>
        <v>244.29670723222924</v>
      </c>
      <c r="J35" s="5">
        <f>J24/(1+$C34)^8</f>
        <v>232.66353069736121</v>
      </c>
      <c r="K35" s="5">
        <f>K24/(1+$C34)^9</f>
        <v>221.5843149498678</v>
      </c>
      <c r="L35" s="5">
        <f>L24/(1+$C34)^10</f>
        <v>211.03268090463601</v>
      </c>
      <c r="M35" s="5">
        <f>M24/(1+$C34)^11</f>
        <v>200.98350562346286</v>
      </c>
      <c r="N35" s="5">
        <f>N24/(1+$C34)^12</f>
        <v>191.41286249853607</v>
      </c>
      <c r="O35" s="5">
        <f>O24/(1+$C34)^13</f>
        <v>182.29796428432005</v>
      </c>
      <c r="P35" s="5">
        <f>P24/(1+$C34)^14</f>
        <v>173.6171088422096</v>
      </c>
      <c r="Q35" s="5">
        <f>Q24/(1+$C34)^15</f>
        <v>165.34962746877099</v>
      </c>
      <c r="R35" s="5">
        <f>R24/(1+$C34)^16</f>
        <v>157.47583568454382</v>
      </c>
      <c r="S35" s="5">
        <f>S24/(1+$C34)^17</f>
        <v>149.97698636623218</v>
      </c>
      <c r="T35" s="5">
        <f>T24/(1+$C34)^18</f>
        <v>142.83522511069734</v>
      </c>
      <c r="U35" s="5">
        <f>U24/(1+$C34)^19</f>
        <v>136.03354772447364</v>
      </c>
      <c r="V35" s="5">
        <f>V24/(1+$C34)^20</f>
        <v>129.55575973759395</v>
      </c>
      <c r="W35" s="5">
        <f>W24/(1+$C34)^21</f>
        <v>0</v>
      </c>
      <c r="X35" s="5">
        <f>X24/(1+$C34)^22</f>
        <v>0</v>
      </c>
    </row>
    <row r="36" spans="2:24" s="1" customFormat="1" x14ac:dyDescent="0.25">
      <c r="C36" s="5"/>
      <c r="D36" s="5"/>
      <c r="E36" s="5"/>
      <c r="F36" s="5"/>
      <c r="G36" s="5"/>
      <c r="H36" s="5"/>
    </row>
    <row r="37" spans="2:24" s="40" customFormat="1" x14ac:dyDescent="0.25">
      <c r="B37" s="22" t="s">
        <v>28</v>
      </c>
      <c r="C37" s="23"/>
      <c r="D37" s="141" t="s">
        <v>44</v>
      </c>
      <c r="E37" s="91" t="s">
        <v>0</v>
      </c>
      <c r="F37" s="91" t="s">
        <v>226</v>
      </c>
      <c r="G37" s="91" t="s">
        <v>227</v>
      </c>
      <c r="H37" s="91" t="s">
        <v>228</v>
      </c>
      <c r="I37" s="91" t="s">
        <v>229</v>
      </c>
      <c r="J37" s="91" t="s">
        <v>230</v>
      </c>
      <c r="K37" s="91" t="s">
        <v>231</v>
      </c>
      <c r="L37" s="91" t="s">
        <v>232</v>
      </c>
      <c r="M37" s="91" t="s">
        <v>233</v>
      </c>
      <c r="N37" s="91" t="s">
        <v>234</v>
      </c>
      <c r="O37" s="91" t="s">
        <v>235</v>
      </c>
      <c r="P37" s="91" t="s">
        <v>236</v>
      </c>
      <c r="Q37" s="91" t="s">
        <v>237</v>
      </c>
      <c r="R37" s="91" t="s">
        <v>238</v>
      </c>
      <c r="S37" s="91" t="s">
        <v>239</v>
      </c>
      <c r="T37" s="91" t="s">
        <v>240</v>
      </c>
      <c r="U37" s="91" t="s">
        <v>241</v>
      </c>
      <c r="V37" s="91" t="s">
        <v>242</v>
      </c>
      <c r="W37" s="91" t="s">
        <v>243</v>
      </c>
      <c r="X37" s="91" t="s">
        <v>244</v>
      </c>
    </row>
    <row r="38" spans="2:24" x14ac:dyDescent="0.25">
      <c r="B38" s="7" t="s">
        <v>40</v>
      </c>
      <c r="C38" s="8">
        <f>SUM(C35:V35)</f>
        <v>6664.8371862005006</v>
      </c>
      <c r="D38" s="6" t="s">
        <v>30</v>
      </c>
      <c r="E38" s="10">
        <f>C35-C39</f>
        <v>-2291.666666666667</v>
      </c>
      <c r="F38" s="10">
        <f>E38+D35</f>
        <v>-1979.8752834467123</v>
      </c>
      <c r="G38" s="10">
        <f t="shared" ref="G38:I38" si="31">F38+E35</f>
        <v>-1682.9311089515174</v>
      </c>
      <c r="H38" s="10">
        <f t="shared" si="31"/>
        <v>-1400.127133241808</v>
      </c>
      <c r="I38" s="10">
        <f t="shared" si="31"/>
        <v>-1130.7900135182754</v>
      </c>
      <c r="J38" s="10">
        <f t="shared" ref="J38" si="32">I38+H35</f>
        <v>-874.2784709244346</v>
      </c>
      <c r="K38" s="10">
        <f t="shared" ref="K38" si="33">J38+I35</f>
        <v>-629.98176369220539</v>
      </c>
      <c r="L38" s="10">
        <f t="shared" ref="L38" si="34">K38+J35</f>
        <v>-397.31823299484415</v>
      </c>
      <c r="M38" s="10">
        <f t="shared" ref="M38" si="35">L38+K35</f>
        <v>-175.73391804497635</v>
      </c>
      <c r="N38" s="10">
        <f t="shared" ref="N38" si="36">M38+L35</f>
        <v>35.298762859659661</v>
      </c>
      <c r="O38" s="10">
        <f t="shared" ref="O38" si="37">N38+M35</f>
        <v>236.28226848312252</v>
      </c>
      <c r="P38" s="10">
        <f t="shared" ref="P38" si="38">O38+N35</f>
        <v>427.69513098165862</v>
      </c>
      <c r="Q38" s="10">
        <f t="shared" ref="Q38" si="39">P38+O35</f>
        <v>609.9930952659787</v>
      </c>
      <c r="R38" s="10">
        <f t="shared" ref="R38" si="40">Q38+P35</f>
        <v>783.61020410818833</v>
      </c>
      <c r="S38" s="10">
        <f t="shared" ref="S38" si="41">R38+Q35</f>
        <v>948.95983157695935</v>
      </c>
      <c r="T38" s="10">
        <f t="shared" ref="T38" si="42">S38+R35</f>
        <v>1106.4356672615031</v>
      </c>
      <c r="U38" s="10">
        <f t="shared" ref="U38" si="43">T38+S35</f>
        <v>1256.4126536277354</v>
      </c>
      <c r="V38" s="10">
        <f t="shared" ref="V38" si="44">U38+T35</f>
        <v>1399.2478787384327</v>
      </c>
      <c r="W38" s="10">
        <f t="shared" ref="W38" si="45">V38+U35</f>
        <v>1535.2814264629064</v>
      </c>
      <c r="X38" s="10">
        <f t="shared" ref="X38" si="46">W38+V35</f>
        <v>1664.8371862005004</v>
      </c>
    </row>
    <row r="39" spans="2:24" x14ac:dyDescent="0.25">
      <c r="B39" s="7" t="s">
        <v>17</v>
      </c>
      <c r="C39" s="8">
        <v>5000</v>
      </c>
      <c r="D39" s="6"/>
      <c r="G39" t="s">
        <v>197</v>
      </c>
    </row>
    <row r="40" spans="2:24" x14ac:dyDescent="0.25">
      <c r="B40" s="7" t="s">
        <v>18</v>
      </c>
      <c r="C40" s="8"/>
      <c r="D40" s="6"/>
    </row>
    <row r="41" spans="2:24" x14ac:dyDescent="0.25">
      <c r="B41" s="7" t="s">
        <v>37</v>
      </c>
      <c r="C41" s="8">
        <f>C38-C39</f>
        <v>1664.8371862005006</v>
      </c>
      <c r="D41" s="6"/>
    </row>
    <row r="42" spans="2:24" s="1" customFormat="1" x14ac:dyDescent="0.25">
      <c r="B42" s="29" t="s">
        <v>9</v>
      </c>
      <c r="C42" s="15">
        <f>(C41/C39)*100%</f>
        <v>0.33296743724010014</v>
      </c>
      <c r="D42" s="5" t="s">
        <v>173</v>
      </c>
      <c r="E42" s="5"/>
    </row>
    <row r="43" spans="2:24" ht="15.75" thickBot="1" x14ac:dyDescent="0.3">
      <c r="B43" s="19"/>
      <c r="C43" s="19"/>
      <c r="E43" s="10"/>
      <c r="F43" s="10"/>
      <c r="G43" s="10"/>
      <c r="H43" s="10"/>
      <c r="I43" s="10"/>
      <c r="J43" s="10"/>
    </row>
    <row r="44" spans="2:24" x14ac:dyDescent="0.25">
      <c r="B44" s="83" t="s">
        <v>155</v>
      </c>
      <c r="C44" s="88"/>
    </row>
    <row r="45" spans="2:24" x14ac:dyDescent="0.25">
      <c r="B45" s="42" t="s">
        <v>151</v>
      </c>
      <c r="C45" s="43" t="s">
        <v>268</v>
      </c>
    </row>
    <row r="46" spans="2:24" x14ac:dyDescent="0.25">
      <c r="B46" s="42" t="s">
        <v>152</v>
      </c>
      <c r="C46" s="43" t="s">
        <v>157</v>
      </c>
    </row>
    <row r="47" spans="2:24" x14ac:dyDescent="0.25">
      <c r="B47" s="42"/>
      <c r="C47" s="45"/>
    </row>
    <row r="48" spans="2:24" x14ac:dyDescent="0.25">
      <c r="B48" s="84" t="s">
        <v>156</v>
      </c>
      <c r="C48" s="108"/>
    </row>
    <row r="49" spans="2:3" x14ac:dyDescent="0.25">
      <c r="B49" s="42" t="s">
        <v>153</v>
      </c>
      <c r="C49" s="43" t="s">
        <v>222</v>
      </c>
    </row>
    <row r="50" spans="2:3" ht="15.75" thickBot="1" x14ac:dyDescent="0.3">
      <c r="B50" s="46" t="s">
        <v>154</v>
      </c>
      <c r="C50" s="47" t="s">
        <v>270</v>
      </c>
    </row>
  </sheetData>
  <phoneticPr fontId="6" type="noConversion"/>
  <pageMargins left="0.7" right="0.7" top="0.75" bottom="0.75" header="0.3" footer="0.3"/>
  <pageSetup paperSize="9" orientation="portrait" r:id="rId1"/>
  <ignoredErrors>
    <ignoredError sqref="C18:X18" formula="1"/>
  </ignoredErrors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2"/>
  <sheetViews>
    <sheetView zoomScaleNormal="100" workbookViewId="0">
      <selection activeCell="C7" sqref="C7"/>
    </sheetView>
  </sheetViews>
  <sheetFormatPr defaultRowHeight="15" x14ac:dyDescent="0.25"/>
  <cols>
    <col min="1" max="1" width="98.7109375" customWidth="1"/>
    <col min="2" max="2" width="14.7109375" customWidth="1"/>
    <col min="3" max="3" width="20.7109375" customWidth="1"/>
    <col min="4" max="4" width="24.7109375" customWidth="1"/>
    <col min="5" max="5" width="76.7109375" customWidth="1"/>
    <col min="6" max="6" width="88.140625" customWidth="1"/>
  </cols>
  <sheetData>
    <row r="1" spans="1:6" x14ac:dyDescent="0.25">
      <c r="A1" s="75" t="s">
        <v>289</v>
      </c>
      <c r="E1" t="s">
        <v>13</v>
      </c>
    </row>
    <row r="2" spans="1:6" x14ac:dyDescent="0.25">
      <c r="A2" s="74" t="s">
        <v>329</v>
      </c>
    </row>
    <row r="3" spans="1:6" ht="45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6" x14ac:dyDescent="0.25">
      <c r="B4" s="13"/>
    </row>
    <row r="5" spans="1:6" x14ac:dyDescent="0.25">
      <c r="A5" t="s">
        <v>86</v>
      </c>
      <c r="B5" s="97">
        <f>'BC LED'!C42</f>
        <v>0.33296743724010014</v>
      </c>
      <c r="C5" s="86"/>
      <c r="D5" s="86"/>
      <c r="E5" t="s">
        <v>81</v>
      </c>
    </row>
    <row r="6" spans="1:6" x14ac:dyDescent="0.25">
      <c r="B6" s="97"/>
      <c r="C6" s="86"/>
      <c r="D6" s="86"/>
    </row>
    <row r="7" spans="1:6" ht="30" x14ac:dyDescent="0.25">
      <c r="A7" s="40" t="s">
        <v>87</v>
      </c>
      <c r="B7" s="86"/>
      <c r="C7" s="86">
        <f>'BC LED'!B3*0.6</f>
        <v>1200</v>
      </c>
      <c r="D7" s="86"/>
      <c r="E7" s="103" t="s">
        <v>73</v>
      </c>
    </row>
    <row r="8" spans="1:6" ht="30" x14ac:dyDescent="0.25">
      <c r="A8" t="s">
        <v>88</v>
      </c>
      <c r="B8" s="86"/>
      <c r="C8" s="86">
        <f>'BC LED'!B4*1.9</f>
        <v>-380</v>
      </c>
      <c r="D8" s="86"/>
      <c r="E8" s="55" t="s">
        <v>76</v>
      </c>
    </row>
    <row r="9" spans="1:6" x14ac:dyDescent="0.25">
      <c r="A9" t="s">
        <v>89</v>
      </c>
      <c r="B9" s="86"/>
      <c r="C9" s="86">
        <f>C7+C8</f>
        <v>820</v>
      </c>
      <c r="D9" s="86"/>
    </row>
    <row r="10" spans="1:6" x14ac:dyDescent="0.25">
      <c r="B10" s="86"/>
      <c r="C10" s="86"/>
      <c r="D10" s="86"/>
    </row>
    <row r="11" spans="1:6" ht="30" x14ac:dyDescent="0.25">
      <c r="A11" t="s">
        <v>90</v>
      </c>
      <c r="B11" s="86"/>
      <c r="C11" s="86"/>
      <c r="D11" s="86" t="s">
        <v>78</v>
      </c>
      <c r="E11" s="55" t="s">
        <v>75</v>
      </c>
      <c r="F11" s="2" t="s">
        <v>159</v>
      </c>
    </row>
    <row r="12" spans="1:6" x14ac:dyDescent="0.25">
      <c r="B12" s="86"/>
      <c r="C12" s="86"/>
      <c r="D12" s="86"/>
      <c r="E12" t="s">
        <v>83</v>
      </c>
      <c r="F12" s="48" t="s">
        <v>294</v>
      </c>
    </row>
    <row r="13" spans="1:6" x14ac:dyDescent="0.25">
      <c r="B13" s="86"/>
      <c r="C13" s="98"/>
      <c r="D13" s="86"/>
      <c r="F13" s="117" t="s">
        <v>93</v>
      </c>
    </row>
    <row r="14" spans="1:6" x14ac:dyDescent="0.25">
      <c r="A14" t="s">
        <v>187</v>
      </c>
      <c r="B14" s="86">
        <v>3</v>
      </c>
      <c r="C14" s="86">
        <v>5</v>
      </c>
      <c r="D14" s="86">
        <v>3</v>
      </c>
      <c r="E14" t="s">
        <v>132</v>
      </c>
      <c r="F14" s="117" t="s">
        <v>94</v>
      </c>
    </row>
    <row r="15" spans="1:6" x14ac:dyDescent="0.25">
      <c r="B15" s="86"/>
      <c r="C15" s="26"/>
      <c r="D15" s="86"/>
      <c r="E15" t="s">
        <v>82</v>
      </c>
      <c r="F15" s="117" t="s">
        <v>291</v>
      </c>
    </row>
    <row r="16" spans="1:6" x14ac:dyDescent="0.25">
      <c r="B16" s="86"/>
      <c r="C16" s="26"/>
      <c r="D16" s="86"/>
      <c r="F16" s="16" t="s">
        <v>95</v>
      </c>
    </row>
    <row r="17" spans="1:6" x14ac:dyDescent="0.25">
      <c r="A17" t="s">
        <v>85</v>
      </c>
      <c r="B17" s="99">
        <v>0.6</v>
      </c>
      <c r="C17" s="99">
        <v>0.1</v>
      </c>
      <c r="D17" s="99">
        <v>0.3</v>
      </c>
      <c r="E17" s="2" t="s">
        <v>84</v>
      </c>
      <c r="F17" s="48" t="s">
        <v>74</v>
      </c>
    </row>
    <row r="18" spans="1:6" ht="18.75" x14ac:dyDescent="0.3">
      <c r="B18" s="99"/>
      <c r="C18" s="99"/>
      <c r="D18" s="99"/>
      <c r="E18" s="14"/>
      <c r="F18" s="16" t="s">
        <v>96</v>
      </c>
    </row>
    <row r="19" spans="1:6" x14ac:dyDescent="0.25">
      <c r="A19" s="111" t="s">
        <v>80</v>
      </c>
      <c r="B19" s="115">
        <f>B14*B17+C14*C17+D14*D17</f>
        <v>3.1999999999999997</v>
      </c>
      <c r="C19" s="86"/>
      <c r="D19" s="86"/>
      <c r="E19" t="s">
        <v>317</v>
      </c>
      <c r="F19" s="16" t="s">
        <v>97</v>
      </c>
    </row>
    <row r="20" spans="1:6" x14ac:dyDescent="0.25">
      <c r="F20" s="48" t="s">
        <v>99</v>
      </c>
    </row>
    <row r="21" spans="1:6" x14ac:dyDescent="0.25">
      <c r="F21" s="48" t="s">
        <v>315</v>
      </c>
    </row>
    <row r="22" spans="1:6" x14ac:dyDescent="0.25">
      <c r="F22" s="48" t="s">
        <v>103</v>
      </c>
    </row>
    <row r="23" spans="1:6" x14ac:dyDescent="0.25">
      <c r="F23" s="48" t="s">
        <v>104</v>
      </c>
    </row>
    <row r="24" spans="1:6" x14ac:dyDescent="0.25">
      <c r="F24" s="48" t="s">
        <v>316</v>
      </c>
    </row>
    <row r="25" spans="1:6" ht="15" customHeight="1" x14ac:dyDescent="0.25">
      <c r="F25" s="48" t="s">
        <v>105</v>
      </c>
    </row>
    <row r="26" spans="1:6" ht="13.9" customHeight="1" x14ac:dyDescent="0.25">
      <c r="F26" s="48" t="s">
        <v>314</v>
      </c>
    </row>
    <row r="27" spans="1:6" ht="54.6" customHeight="1" x14ac:dyDescent="0.25">
      <c r="F27" s="16"/>
    </row>
    <row r="28" spans="1:6" ht="27.6" customHeight="1" x14ac:dyDescent="0.25">
      <c r="F28" s="17"/>
    </row>
    <row r="29" spans="1:6" x14ac:dyDescent="0.25">
      <c r="F29" s="17"/>
    </row>
    <row r="30" spans="1:6" ht="43.15" customHeight="1" x14ac:dyDescent="0.25">
      <c r="F30" s="25"/>
    </row>
    <row r="31" spans="1:6" ht="46.9" customHeight="1" x14ac:dyDescent="0.25">
      <c r="F31" s="16"/>
    </row>
    <row r="32" spans="1:6" x14ac:dyDescent="0.25">
      <c r="F32" s="16"/>
    </row>
    <row r="33" spans="6:6" x14ac:dyDescent="0.25">
      <c r="F33" s="16"/>
    </row>
    <row r="34" spans="6:6" ht="16.899999999999999" customHeight="1" x14ac:dyDescent="0.25">
      <c r="F34" s="17"/>
    </row>
    <row r="35" spans="6:6" x14ac:dyDescent="0.25">
      <c r="F35" s="17"/>
    </row>
    <row r="40" spans="6:6" ht="42" customHeight="1" x14ac:dyDescent="0.25"/>
    <row r="42" spans="6:6" ht="46.1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52"/>
  <sheetViews>
    <sheetView workbookViewId="0">
      <selection activeCell="B3" sqref="B3"/>
    </sheetView>
  </sheetViews>
  <sheetFormatPr defaultRowHeight="15" x14ac:dyDescent="0.25"/>
  <cols>
    <col min="1" max="1" width="17.28515625" bestFit="1" customWidth="1"/>
    <col min="2" max="2" width="85.7109375" customWidth="1"/>
    <col min="3" max="3" width="12.7109375" customWidth="1"/>
    <col min="4" max="4" width="16.7109375" customWidth="1"/>
    <col min="5" max="14" width="12.7109375" customWidth="1"/>
    <col min="15" max="15" width="12.140625" customWidth="1"/>
    <col min="16" max="24" width="10.28515625" customWidth="1"/>
  </cols>
  <sheetData>
    <row r="1" spans="1:14" s="113" customFormat="1" x14ac:dyDescent="0.25">
      <c r="B1" s="76" t="s">
        <v>146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</row>
    <row r="2" spans="1:14" x14ac:dyDescent="0.25">
      <c r="B2" s="48" t="s">
        <v>179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</row>
    <row r="3" spans="1:14" x14ac:dyDescent="0.25">
      <c r="A3" t="s">
        <v>307</v>
      </c>
      <c r="B3">
        <v>1200</v>
      </c>
      <c r="C3" s="54"/>
      <c r="D3" s="54"/>
      <c r="E3" s="54"/>
      <c r="F3" s="54"/>
      <c r="G3" s="54"/>
      <c r="H3" s="53"/>
      <c r="I3" s="53"/>
      <c r="J3" s="53"/>
      <c r="K3" s="53"/>
      <c r="L3" s="53"/>
      <c r="M3" s="53"/>
      <c r="N3" s="53"/>
    </row>
    <row r="4" spans="1:14" x14ac:dyDescent="0.25">
      <c r="A4" t="s">
        <v>308</v>
      </c>
      <c r="B4" s="79">
        <v>0</v>
      </c>
      <c r="C4" s="54"/>
      <c r="D4" s="54"/>
      <c r="E4" s="54"/>
      <c r="F4" s="54"/>
      <c r="G4" s="54"/>
      <c r="H4" s="53"/>
      <c r="I4" s="53"/>
      <c r="J4" s="53"/>
      <c r="K4" s="53"/>
      <c r="L4" s="53"/>
      <c r="M4" s="53"/>
      <c r="N4" s="53"/>
    </row>
    <row r="5" spans="1:14" x14ac:dyDescent="0.25">
      <c r="A5" t="s">
        <v>286</v>
      </c>
      <c r="B5" s="2">
        <v>0.25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</row>
    <row r="6" spans="1:14" x14ac:dyDescent="0.25">
      <c r="A6" t="s">
        <v>287</v>
      </c>
      <c r="B6" s="77">
        <v>0.5</v>
      </c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</row>
    <row r="7" spans="1:14" x14ac:dyDescent="0.25">
      <c r="B7" s="140"/>
      <c r="C7" s="82"/>
      <c r="D7" s="82"/>
      <c r="E7" s="82"/>
      <c r="F7" s="82"/>
      <c r="G7" s="82"/>
      <c r="H7" s="5"/>
      <c r="I7" s="5"/>
      <c r="J7" s="5"/>
      <c r="K7" s="5"/>
      <c r="L7" s="5"/>
      <c r="M7" s="5"/>
      <c r="N7" s="5"/>
    </row>
    <row r="8" spans="1:14" x14ac:dyDescent="0.25">
      <c r="B8" s="28" t="s">
        <v>53</v>
      </c>
      <c r="C8" s="5">
        <f>$B3*($B5-0.08)</f>
        <v>203.99999999999997</v>
      </c>
      <c r="D8" s="5">
        <f t="shared" ref="D8:L8" si="0">$B3*($B5-0.08)</f>
        <v>203.99999999999997</v>
      </c>
      <c r="E8" s="5">
        <f t="shared" si="0"/>
        <v>203.99999999999997</v>
      </c>
      <c r="F8" s="5">
        <f t="shared" si="0"/>
        <v>203.99999999999997</v>
      </c>
      <c r="G8" s="5">
        <f t="shared" si="0"/>
        <v>203.99999999999997</v>
      </c>
      <c r="H8" s="5">
        <f t="shared" si="0"/>
        <v>203.99999999999997</v>
      </c>
      <c r="I8" s="5">
        <f t="shared" si="0"/>
        <v>203.99999999999997</v>
      </c>
      <c r="J8" s="5">
        <f t="shared" si="0"/>
        <v>203.99999999999997</v>
      </c>
      <c r="K8" s="5">
        <f t="shared" si="0"/>
        <v>203.99999999999997</v>
      </c>
      <c r="L8" s="5">
        <f t="shared" si="0"/>
        <v>203.99999999999997</v>
      </c>
      <c r="M8" s="5"/>
      <c r="N8" s="5"/>
    </row>
    <row r="9" spans="1:14" x14ac:dyDescent="0.25">
      <c r="B9" t="s">
        <v>280</v>
      </c>
      <c r="C9" s="6">
        <v>500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5"/>
      <c r="N9" s="5"/>
    </row>
    <row r="10" spans="1:14" x14ac:dyDescent="0.25">
      <c r="B10" t="s">
        <v>36</v>
      </c>
      <c r="C10" s="6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5"/>
      <c r="N10" s="5"/>
    </row>
    <row r="11" spans="1:14" ht="30" x14ac:dyDescent="0.25">
      <c r="B11" s="55" t="s">
        <v>25</v>
      </c>
      <c r="C11" s="6">
        <v>25</v>
      </c>
      <c r="D11" s="6">
        <v>25</v>
      </c>
      <c r="E11" s="6">
        <v>25</v>
      </c>
      <c r="F11" s="6">
        <v>25</v>
      </c>
      <c r="G11" s="6">
        <v>25</v>
      </c>
      <c r="H11" s="6">
        <v>25</v>
      </c>
      <c r="I11" s="6">
        <v>25</v>
      </c>
      <c r="J11" s="6">
        <v>25</v>
      </c>
      <c r="K11" s="6">
        <v>25</v>
      </c>
      <c r="L11" s="6">
        <v>25</v>
      </c>
      <c r="M11" s="5"/>
      <c r="N11" s="5"/>
    </row>
    <row r="12" spans="1:14" x14ac:dyDescent="0.25">
      <c r="B12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  <c r="N12" s="5"/>
    </row>
    <row r="13" spans="1:14" x14ac:dyDescent="0.25">
      <c r="B13" t="s">
        <v>21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  <c r="N13" s="5"/>
    </row>
    <row r="14" spans="1:14" x14ac:dyDescent="0.25">
      <c r="B14" s="1" t="s">
        <v>1</v>
      </c>
      <c r="C14" s="5">
        <f>C8-SUM(C9:C13)</f>
        <v>-321</v>
      </c>
      <c r="D14" s="5">
        <f>D8-SUM(D9:D13)</f>
        <v>178.99999999999997</v>
      </c>
      <c r="E14" s="5">
        <f>E8-SUM(E9:E13)</f>
        <v>178.99999999999997</v>
      </c>
      <c r="F14" s="5">
        <f>F8-SUM(F9:F13)</f>
        <v>178.99999999999997</v>
      </c>
      <c r="G14" s="5">
        <f>G8-SUM(G9:G13)</f>
        <v>178.99999999999997</v>
      </c>
      <c r="H14" s="5">
        <f t="shared" ref="H14:L14" si="1">H8-SUM(H9:H13)</f>
        <v>178.99999999999997</v>
      </c>
      <c r="I14" s="5">
        <f t="shared" si="1"/>
        <v>178.99999999999997</v>
      </c>
      <c r="J14" s="5">
        <f t="shared" si="1"/>
        <v>178.99999999999997</v>
      </c>
      <c r="K14" s="5">
        <f t="shared" si="1"/>
        <v>178.99999999999997</v>
      </c>
      <c r="L14" s="5">
        <f t="shared" si="1"/>
        <v>178.99999999999997</v>
      </c>
      <c r="M14" s="5"/>
      <c r="N14" s="5"/>
    </row>
    <row r="15" spans="1:14" x14ac:dyDescent="0.25">
      <c r="B15" t="s">
        <v>38</v>
      </c>
      <c r="C15" s="6">
        <f>$C29/10</f>
        <v>870</v>
      </c>
      <c r="D15" s="6">
        <f t="shared" ref="D15:L15" si="2">$C29/10</f>
        <v>870</v>
      </c>
      <c r="E15" s="6">
        <f t="shared" si="2"/>
        <v>870</v>
      </c>
      <c r="F15" s="6">
        <f t="shared" si="2"/>
        <v>870</v>
      </c>
      <c r="G15" s="6">
        <f t="shared" si="2"/>
        <v>870</v>
      </c>
      <c r="H15" s="6">
        <f t="shared" si="2"/>
        <v>870</v>
      </c>
      <c r="I15" s="6">
        <f t="shared" si="2"/>
        <v>870</v>
      </c>
      <c r="J15" s="6">
        <f t="shared" si="2"/>
        <v>870</v>
      </c>
      <c r="K15" s="6">
        <f t="shared" si="2"/>
        <v>870</v>
      </c>
      <c r="L15" s="6">
        <f t="shared" si="2"/>
        <v>870</v>
      </c>
      <c r="M15" s="5"/>
      <c r="N15" s="5"/>
    </row>
    <row r="16" spans="1:14" x14ac:dyDescent="0.25">
      <c r="B16" s="1" t="s">
        <v>2</v>
      </c>
      <c r="C16" s="5">
        <f t="shared" ref="C16:L16" si="3">C14-C15</f>
        <v>-1191</v>
      </c>
      <c r="D16" s="5">
        <f t="shared" si="3"/>
        <v>-691</v>
      </c>
      <c r="E16" s="5">
        <f t="shared" si="3"/>
        <v>-691</v>
      </c>
      <c r="F16" s="5">
        <f t="shared" si="3"/>
        <v>-691</v>
      </c>
      <c r="G16" s="5">
        <f t="shared" si="3"/>
        <v>-691</v>
      </c>
      <c r="H16" s="5">
        <f t="shared" si="3"/>
        <v>-691</v>
      </c>
      <c r="I16" s="5">
        <f t="shared" si="3"/>
        <v>-691</v>
      </c>
      <c r="J16" s="5">
        <f t="shared" si="3"/>
        <v>-691</v>
      </c>
      <c r="K16" s="5">
        <f t="shared" si="3"/>
        <v>-691</v>
      </c>
      <c r="L16" s="5">
        <f t="shared" si="3"/>
        <v>-691</v>
      </c>
      <c r="M16" s="5"/>
      <c r="N16" s="5"/>
    </row>
    <row r="17" spans="2:14" x14ac:dyDescent="0.25">
      <c r="B17" t="s">
        <v>34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5"/>
      <c r="N17" s="5"/>
    </row>
    <row r="18" spans="2:14" x14ac:dyDescent="0.25">
      <c r="B18" s="1" t="s">
        <v>3</v>
      </c>
      <c r="C18" s="5">
        <f t="shared" ref="C18:L18" si="4">C16-C17</f>
        <v>-1191</v>
      </c>
      <c r="D18" s="5">
        <f t="shared" si="4"/>
        <v>-691</v>
      </c>
      <c r="E18" s="5">
        <f t="shared" si="4"/>
        <v>-691</v>
      </c>
      <c r="F18" s="5">
        <f t="shared" si="4"/>
        <v>-691</v>
      </c>
      <c r="G18" s="5">
        <f t="shared" si="4"/>
        <v>-691</v>
      </c>
      <c r="H18" s="5">
        <f t="shared" si="4"/>
        <v>-691</v>
      </c>
      <c r="I18" s="5">
        <f t="shared" si="4"/>
        <v>-691</v>
      </c>
      <c r="J18" s="5">
        <f t="shared" si="4"/>
        <v>-691</v>
      </c>
      <c r="K18" s="5">
        <f t="shared" si="4"/>
        <v>-691</v>
      </c>
      <c r="L18" s="5">
        <f t="shared" si="4"/>
        <v>-691</v>
      </c>
      <c r="M18" s="5"/>
      <c r="N18" s="5"/>
    </row>
    <row r="19" spans="2:14" x14ac:dyDescent="0.25">
      <c r="B19" t="s">
        <v>174</v>
      </c>
      <c r="C19" s="6">
        <f>0.25*C18</f>
        <v>-297.75</v>
      </c>
      <c r="D19" s="6">
        <f>0.25*D18</f>
        <v>-172.75</v>
      </c>
      <c r="E19" s="6">
        <f t="shared" ref="E19:L19" si="5">0.25*E18</f>
        <v>-172.75</v>
      </c>
      <c r="F19" s="6">
        <f t="shared" si="5"/>
        <v>-172.75</v>
      </c>
      <c r="G19" s="6">
        <f t="shared" si="5"/>
        <v>-172.75</v>
      </c>
      <c r="H19" s="6">
        <f t="shared" si="5"/>
        <v>-172.75</v>
      </c>
      <c r="I19" s="6">
        <f t="shared" si="5"/>
        <v>-172.75</v>
      </c>
      <c r="J19" s="6">
        <f t="shared" si="5"/>
        <v>-172.75</v>
      </c>
      <c r="K19" s="6">
        <f t="shared" si="5"/>
        <v>-172.75</v>
      </c>
      <c r="L19" s="6">
        <f t="shared" si="5"/>
        <v>-172.75</v>
      </c>
      <c r="M19" s="5"/>
      <c r="N19" s="5"/>
    </row>
    <row r="20" spans="2:14" x14ac:dyDescent="0.25">
      <c r="B20" s="1" t="s">
        <v>4</v>
      </c>
      <c r="C20" s="5">
        <f t="shared" ref="C20:L20" si="6">C18-C19</f>
        <v>-893.25</v>
      </c>
      <c r="D20" s="5">
        <f t="shared" si="6"/>
        <v>-518.25</v>
      </c>
      <c r="E20" s="5">
        <f t="shared" si="6"/>
        <v>-518.25</v>
      </c>
      <c r="F20" s="5">
        <f t="shared" si="6"/>
        <v>-518.25</v>
      </c>
      <c r="G20" s="5">
        <f t="shared" si="6"/>
        <v>-518.25</v>
      </c>
      <c r="H20" s="5">
        <f t="shared" si="6"/>
        <v>-518.25</v>
      </c>
      <c r="I20" s="5">
        <f t="shared" si="6"/>
        <v>-518.25</v>
      </c>
      <c r="J20" s="5">
        <f t="shared" si="6"/>
        <v>-518.25</v>
      </c>
      <c r="K20" s="5">
        <f t="shared" si="6"/>
        <v>-518.25</v>
      </c>
      <c r="L20" s="5">
        <f t="shared" si="6"/>
        <v>-518.25</v>
      </c>
      <c r="M20" s="5"/>
      <c r="N20" s="5"/>
    </row>
    <row r="21" spans="2:14" x14ac:dyDescent="0.25">
      <c r="B21" s="2" t="s">
        <v>35</v>
      </c>
      <c r="C21" s="6">
        <f>C15</f>
        <v>870</v>
      </c>
      <c r="D21" s="6">
        <f>D15</f>
        <v>870</v>
      </c>
      <c r="E21" s="6">
        <f>E15</f>
        <v>870</v>
      </c>
      <c r="F21" s="6">
        <f>F15</f>
        <v>870</v>
      </c>
      <c r="G21" s="6">
        <f>G15</f>
        <v>870</v>
      </c>
      <c r="H21" s="6">
        <f t="shared" ref="H21:L21" si="7">H15</f>
        <v>870</v>
      </c>
      <c r="I21" s="6">
        <f t="shared" si="7"/>
        <v>870</v>
      </c>
      <c r="J21" s="6">
        <f t="shared" si="7"/>
        <v>870</v>
      </c>
      <c r="K21" s="6">
        <f t="shared" si="7"/>
        <v>870</v>
      </c>
      <c r="L21" s="6">
        <f t="shared" si="7"/>
        <v>870</v>
      </c>
      <c r="M21" s="5"/>
      <c r="N21" s="5"/>
    </row>
    <row r="22" spans="2:14" x14ac:dyDescent="0.25">
      <c r="B22" s="2" t="s">
        <v>39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5"/>
      <c r="N22" s="5"/>
    </row>
    <row r="23" spans="2:14" x14ac:dyDescent="0.25">
      <c r="B23" s="2" t="s">
        <v>117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5"/>
      <c r="N23" s="5"/>
    </row>
    <row r="24" spans="2:14" x14ac:dyDescent="0.25">
      <c r="B24" s="2" t="s">
        <v>33</v>
      </c>
      <c r="C24" s="12">
        <f>C29*0.5</f>
        <v>4350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5"/>
      <c r="N24" s="5"/>
    </row>
    <row r="25" spans="2:14" x14ac:dyDescent="0.25">
      <c r="B25" s="1" t="s">
        <v>5</v>
      </c>
      <c r="C25" s="5">
        <f t="shared" ref="C25:H25" si="8">C20+SUM(C21:C24)</f>
        <v>4326.75</v>
      </c>
      <c r="D25" s="5">
        <f t="shared" si="8"/>
        <v>351.75</v>
      </c>
      <c r="E25" s="5">
        <f t="shared" si="8"/>
        <v>351.75</v>
      </c>
      <c r="F25" s="5">
        <f t="shared" si="8"/>
        <v>351.75</v>
      </c>
      <c r="G25" s="5">
        <f t="shared" si="8"/>
        <v>351.75</v>
      </c>
      <c r="H25" s="5">
        <f t="shared" si="8"/>
        <v>351.75</v>
      </c>
      <c r="I25" s="5">
        <f t="shared" ref="I25:L25" si="9">I20+SUM(I21:I24)</f>
        <v>351.75</v>
      </c>
      <c r="J25" s="5">
        <f t="shared" si="9"/>
        <v>351.75</v>
      </c>
      <c r="K25" s="5">
        <f t="shared" si="9"/>
        <v>351.75</v>
      </c>
      <c r="L25" s="5">
        <f t="shared" si="9"/>
        <v>351.75</v>
      </c>
      <c r="M25" s="5"/>
      <c r="N25" s="5"/>
    </row>
    <row r="26" spans="2:14" x14ac:dyDescent="0.25"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s="113" customFormat="1" x14ac:dyDescent="0.25">
      <c r="B27" s="114" t="s">
        <v>27</v>
      </c>
      <c r="C27" s="114"/>
      <c r="D27" s="123" t="s">
        <v>44</v>
      </c>
      <c r="E27" s="90" t="s">
        <v>0</v>
      </c>
      <c r="F27" s="90" t="s">
        <v>226</v>
      </c>
      <c r="G27" s="90" t="s">
        <v>227</v>
      </c>
      <c r="H27" s="90" t="s">
        <v>228</v>
      </c>
      <c r="I27" s="90" t="s">
        <v>229</v>
      </c>
      <c r="J27" s="90" t="s">
        <v>230</v>
      </c>
      <c r="K27" s="90" t="s">
        <v>231</v>
      </c>
      <c r="L27" s="90" t="s">
        <v>232</v>
      </c>
      <c r="M27" s="90" t="s">
        <v>233</v>
      </c>
      <c r="N27" s="90" t="s">
        <v>234</v>
      </c>
    </row>
    <row r="28" spans="2:14" x14ac:dyDescent="0.25">
      <c r="B28" s="7" t="s">
        <v>41</v>
      </c>
      <c r="C28" s="8">
        <f>SUM(C25:L25)</f>
        <v>7492.5</v>
      </c>
      <c r="D28" s="6" t="s">
        <v>29</v>
      </c>
      <c r="E28" s="10">
        <f>C25-C29</f>
        <v>-4373.25</v>
      </c>
      <c r="F28" s="10">
        <f>E28+D25</f>
        <v>-4021.5</v>
      </c>
      <c r="G28" s="10">
        <f t="shared" ref="G28:N28" si="10">F28+E25</f>
        <v>-3669.75</v>
      </c>
      <c r="H28" s="10">
        <f t="shared" si="10"/>
        <v>-3318</v>
      </c>
      <c r="I28" s="10">
        <f t="shared" si="10"/>
        <v>-2966.25</v>
      </c>
      <c r="J28" s="10">
        <f t="shared" si="10"/>
        <v>-2614.5</v>
      </c>
      <c r="K28" s="10">
        <f t="shared" si="10"/>
        <v>-2262.75</v>
      </c>
      <c r="L28" s="10">
        <f t="shared" si="10"/>
        <v>-1911</v>
      </c>
      <c r="M28" s="10">
        <f t="shared" si="10"/>
        <v>-1559.25</v>
      </c>
      <c r="N28" s="10">
        <f t="shared" si="10"/>
        <v>-1207.5</v>
      </c>
    </row>
    <row r="29" spans="2:14" x14ac:dyDescent="0.25">
      <c r="B29" s="7" t="s">
        <v>32</v>
      </c>
      <c r="C29" s="8">
        <v>8700</v>
      </c>
      <c r="D29" s="5"/>
      <c r="G29" t="s">
        <v>47</v>
      </c>
      <c r="J29" s="5"/>
      <c r="K29" s="5"/>
      <c r="L29" s="5"/>
      <c r="M29" s="5"/>
      <c r="N29" s="5"/>
    </row>
    <row r="30" spans="2:14" x14ac:dyDescent="0.25">
      <c r="B30" s="7" t="s">
        <v>18</v>
      </c>
      <c r="C30" s="8"/>
      <c r="D30" s="5"/>
      <c r="J30" s="5"/>
      <c r="K30" s="5"/>
      <c r="L30" s="5"/>
      <c r="M30" s="5"/>
      <c r="N30" s="5"/>
    </row>
    <row r="31" spans="2:14" x14ac:dyDescent="0.25">
      <c r="B31" s="7" t="s">
        <v>8</v>
      </c>
      <c r="C31" s="8">
        <f>C28-C29</f>
        <v>-1207.5</v>
      </c>
      <c r="D31" s="5"/>
      <c r="J31" s="5"/>
      <c r="K31" s="5"/>
      <c r="L31" s="5"/>
      <c r="M31" s="5"/>
      <c r="N31" s="5"/>
    </row>
    <row r="32" spans="2:14" x14ac:dyDescent="0.25">
      <c r="B32" s="18" t="s">
        <v>10</v>
      </c>
      <c r="C32" s="9">
        <f>C31/C29*100%</f>
        <v>-0.13879310344827586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x14ac:dyDescent="0.25">
      <c r="B33" s="19"/>
      <c r="C33" s="2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x14ac:dyDescent="0.25">
      <c r="B34" s="6"/>
      <c r="C34" s="5"/>
      <c r="D34" s="6"/>
      <c r="J34" s="5"/>
      <c r="K34" s="5"/>
      <c r="L34" s="5"/>
      <c r="M34" s="5"/>
      <c r="N34" s="5"/>
    </row>
    <row r="35" spans="2:14" x14ac:dyDescent="0.25">
      <c r="B35" t="s">
        <v>31</v>
      </c>
      <c r="C35" s="4">
        <v>0.05</v>
      </c>
      <c r="D35" s="6"/>
      <c r="E35" s="6"/>
    </row>
    <row r="36" spans="2:14" x14ac:dyDescent="0.25">
      <c r="B36" s="1" t="s">
        <v>6</v>
      </c>
      <c r="C36" s="5">
        <f>C25/(1+$C35)</f>
        <v>4120.7142857142853</v>
      </c>
      <c r="D36" s="5">
        <f>D25/(1+$C35)^2</f>
        <v>319.04761904761904</v>
      </c>
      <c r="E36" s="5">
        <f>E25/(1+$C35)^3</f>
        <v>303.85487528344669</v>
      </c>
      <c r="F36" s="5">
        <f>F25/(1+$C35)^4</f>
        <v>289.3855955080445</v>
      </c>
      <c r="G36" s="5">
        <f>G25/(1+$C35)^5</f>
        <v>275.60532905528044</v>
      </c>
      <c r="H36" s="5">
        <f>H25/(1+$C35)^6</f>
        <v>262.4812657669338</v>
      </c>
      <c r="I36" s="5">
        <f>I25/(1+$C35)^7</f>
        <v>249.98215787327021</v>
      </c>
      <c r="J36" s="5">
        <f>J25/(1+$C35)^8</f>
        <v>238.07824559359071</v>
      </c>
      <c r="K36" s="5">
        <f>K25/(1+$C35)^9</f>
        <v>226.74118627961019</v>
      </c>
      <c r="L36" s="5">
        <f>L25/(1+$C35)^10</f>
        <v>215.94398693296208</v>
      </c>
      <c r="M36" s="5">
        <f>M25/(1+$C35)^11</f>
        <v>0</v>
      </c>
      <c r="N36" s="5">
        <f>N25/(1+$C35)^12</f>
        <v>0</v>
      </c>
    </row>
    <row r="37" spans="2:14" x14ac:dyDescent="0.25">
      <c r="B37" s="1"/>
      <c r="C37" s="5"/>
      <c r="D37" s="5"/>
      <c r="E37" s="5"/>
      <c r="F37" s="5"/>
      <c r="G37" s="5"/>
      <c r="H37" s="5"/>
      <c r="I37" s="1"/>
      <c r="J37" s="1"/>
      <c r="K37" s="1"/>
      <c r="L37" s="1"/>
      <c r="M37" s="1"/>
      <c r="N37" s="1"/>
    </row>
    <row r="38" spans="2:14" s="113" customFormat="1" x14ac:dyDescent="0.25">
      <c r="B38" s="123" t="s">
        <v>28</v>
      </c>
      <c r="C38" s="126"/>
      <c r="D38" s="145" t="s">
        <v>44</v>
      </c>
      <c r="E38" s="91" t="s">
        <v>0</v>
      </c>
      <c r="F38" s="91" t="s">
        <v>226</v>
      </c>
      <c r="G38" s="91" t="s">
        <v>227</v>
      </c>
      <c r="H38" s="91" t="s">
        <v>228</v>
      </c>
      <c r="I38" s="91" t="s">
        <v>229</v>
      </c>
      <c r="J38" s="91" t="s">
        <v>230</v>
      </c>
      <c r="K38" s="91" t="s">
        <v>231</v>
      </c>
      <c r="L38" s="91" t="s">
        <v>232</v>
      </c>
      <c r="M38" s="91" t="s">
        <v>233</v>
      </c>
      <c r="N38" s="91" t="s">
        <v>234</v>
      </c>
    </row>
    <row r="39" spans="2:14" x14ac:dyDescent="0.25">
      <c r="B39" s="7" t="s">
        <v>40</v>
      </c>
      <c r="C39" s="8">
        <f>SUM(C36:L36)</f>
        <v>6501.8345470550412</v>
      </c>
      <c r="D39" s="6" t="s">
        <v>30</v>
      </c>
      <c r="E39" s="10">
        <f>C36-C40</f>
        <v>-4579.2857142857147</v>
      </c>
      <c r="F39" s="10">
        <f>E39+D36</f>
        <v>-4260.2380952380954</v>
      </c>
      <c r="G39" s="10">
        <f t="shared" ref="G39:N39" si="11">F39+E36</f>
        <v>-3956.3832199546487</v>
      </c>
      <c r="H39" s="10">
        <f t="shared" si="11"/>
        <v>-3666.9976244466043</v>
      </c>
      <c r="I39" s="10">
        <f t="shared" si="11"/>
        <v>-3391.3922953913238</v>
      </c>
      <c r="J39" s="10">
        <f t="shared" si="11"/>
        <v>-3128.9110296243898</v>
      </c>
      <c r="K39" s="10">
        <f t="shared" si="11"/>
        <v>-2878.9288717511195</v>
      </c>
      <c r="L39" s="10">
        <f t="shared" si="11"/>
        <v>-2640.8506261575289</v>
      </c>
      <c r="M39" s="10">
        <f t="shared" si="11"/>
        <v>-2414.1094398779187</v>
      </c>
      <c r="N39" s="10">
        <f t="shared" si="11"/>
        <v>-2198.1654529449565</v>
      </c>
    </row>
    <row r="40" spans="2:14" x14ac:dyDescent="0.25">
      <c r="B40" s="7" t="s">
        <v>17</v>
      </c>
      <c r="C40" s="8">
        <v>8700</v>
      </c>
      <c r="D40" s="6"/>
      <c r="G40" t="s">
        <v>47</v>
      </c>
    </row>
    <row r="41" spans="2:14" x14ac:dyDescent="0.25">
      <c r="B41" s="7" t="s">
        <v>18</v>
      </c>
      <c r="C41" s="8"/>
      <c r="D41" s="6"/>
    </row>
    <row r="42" spans="2:14" x14ac:dyDescent="0.25">
      <c r="B42" s="7" t="s">
        <v>37</v>
      </c>
      <c r="C42" s="8">
        <f>C39-C40</f>
        <v>-2198.1654529449588</v>
      </c>
      <c r="D42" s="6"/>
    </row>
    <row r="43" spans="2:14" x14ac:dyDescent="0.25">
      <c r="B43" s="18" t="s">
        <v>9</v>
      </c>
      <c r="C43" s="9">
        <f>(C42/C40)*100%</f>
        <v>-0.25266269574079986</v>
      </c>
      <c r="D43" s="5" t="s">
        <v>185</v>
      </c>
      <c r="E43" s="5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5">
      <c r="B44" s="69"/>
      <c r="C44" s="70"/>
      <c r="D44" s="19"/>
      <c r="E44" s="10"/>
      <c r="F44" s="10"/>
      <c r="G44" s="10"/>
      <c r="H44" s="10"/>
      <c r="I44" s="10"/>
      <c r="J44" s="10"/>
    </row>
    <row r="45" spans="2:14" ht="15.75" thickBot="1" x14ac:dyDescent="0.3">
      <c r="B45" s="71" t="s">
        <v>175</v>
      </c>
      <c r="C45" s="2"/>
    </row>
    <row r="46" spans="2:14" x14ac:dyDescent="0.25">
      <c r="B46" s="83" t="s">
        <v>155</v>
      </c>
      <c r="C46" s="88"/>
      <c r="F46" s="1"/>
      <c r="G46" s="1"/>
      <c r="H46" s="1"/>
    </row>
    <row r="47" spans="2:14" x14ac:dyDescent="0.25">
      <c r="B47" s="42" t="s">
        <v>151</v>
      </c>
      <c r="C47" s="43" t="s">
        <v>157</v>
      </c>
      <c r="F47" s="10"/>
      <c r="G47" s="10"/>
      <c r="H47" s="10"/>
      <c r="I47" s="10"/>
      <c r="J47" s="10"/>
    </row>
    <row r="48" spans="2:14" x14ac:dyDescent="0.25">
      <c r="B48" s="42" t="s">
        <v>152</v>
      </c>
      <c r="C48" s="43" t="s">
        <v>157</v>
      </c>
    </row>
    <row r="49" spans="2:3" x14ac:dyDescent="0.25">
      <c r="B49" s="42"/>
      <c r="C49" s="45"/>
    </row>
    <row r="50" spans="2:3" x14ac:dyDescent="0.25">
      <c r="B50" s="84" t="s">
        <v>156</v>
      </c>
      <c r="C50" s="108"/>
    </row>
    <row r="51" spans="2:3" x14ac:dyDescent="0.25">
      <c r="B51" s="42" t="s">
        <v>153</v>
      </c>
      <c r="C51" s="43" t="s">
        <v>157</v>
      </c>
    </row>
    <row r="52" spans="2:3" ht="15.75" thickBot="1" x14ac:dyDescent="0.3">
      <c r="B52" s="46" t="s">
        <v>154</v>
      </c>
      <c r="C52" s="47" t="s">
        <v>157</v>
      </c>
    </row>
  </sheetData>
  <phoneticPr fontId="6" type="noConversion"/>
  <pageMargins left="0.7" right="0.7" top="0.75" bottom="0.75" header="0.3" footer="0.3"/>
  <pageSetup paperSize="9" orientation="portrait" verticalDpi="0" r:id="rId1"/>
  <ignoredErrors>
    <ignoredError sqref="C19:L19" formula="1"/>
  </ignoredErrors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3"/>
  <sheetViews>
    <sheetView workbookViewId="0">
      <selection activeCell="B5" sqref="B5"/>
    </sheetView>
  </sheetViews>
  <sheetFormatPr defaultRowHeight="15" x14ac:dyDescent="0.25"/>
  <cols>
    <col min="1" max="1" width="98.7109375" customWidth="1"/>
    <col min="2" max="2" width="14.7109375" customWidth="1"/>
    <col min="3" max="3" width="20.85546875" customWidth="1"/>
    <col min="4" max="4" width="24.85546875" customWidth="1"/>
    <col min="5" max="5" width="76.7109375" customWidth="1"/>
    <col min="6" max="6" width="88.5703125" customWidth="1"/>
  </cols>
  <sheetData>
    <row r="1" spans="1:6" x14ac:dyDescent="0.25">
      <c r="A1" s="75" t="s">
        <v>289</v>
      </c>
      <c r="E1" t="s">
        <v>13</v>
      </c>
    </row>
    <row r="2" spans="1:6" x14ac:dyDescent="0.25">
      <c r="A2" s="74" t="s">
        <v>330</v>
      </c>
    </row>
    <row r="3" spans="1:6" ht="30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6" x14ac:dyDescent="0.25">
      <c r="B4" s="13"/>
    </row>
    <row r="5" spans="1:6" x14ac:dyDescent="0.25">
      <c r="A5" t="s">
        <v>86</v>
      </c>
      <c r="B5" s="97">
        <f>'BC Batterij'!C43</f>
        <v>-0.25266269574079986</v>
      </c>
      <c r="C5" s="86"/>
      <c r="D5" s="86"/>
      <c r="E5" t="s">
        <v>81</v>
      </c>
    </row>
    <row r="6" spans="1:6" x14ac:dyDescent="0.25">
      <c r="B6" s="97"/>
      <c r="C6" s="86"/>
      <c r="D6" s="86"/>
    </row>
    <row r="7" spans="1:6" ht="30" x14ac:dyDescent="0.25">
      <c r="A7" s="40" t="s">
        <v>87</v>
      </c>
      <c r="B7" s="86"/>
      <c r="C7" s="86">
        <f>'BC Batterij'!B3*0.6</f>
        <v>720</v>
      </c>
      <c r="D7" s="86"/>
      <c r="E7" s="103" t="s">
        <v>73</v>
      </c>
    </row>
    <row r="8" spans="1:6" ht="30" x14ac:dyDescent="0.25">
      <c r="A8" t="s">
        <v>88</v>
      </c>
      <c r="B8" s="86"/>
      <c r="C8" s="87">
        <f>'BC Batterij'!B4*1.9</f>
        <v>0</v>
      </c>
      <c r="D8" s="86"/>
      <c r="E8" s="55" t="s">
        <v>76</v>
      </c>
    </row>
    <row r="9" spans="1:6" x14ac:dyDescent="0.25">
      <c r="A9" t="s">
        <v>89</v>
      </c>
      <c r="B9" s="86"/>
      <c r="C9" s="86">
        <f>C7+C8</f>
        <v>720</v>
      </c>
      <c r="D9" s="86"/>
      <c r="E9" s="55"/>
    </row>
    <row r="10" spans="1:6" x14ac:dyDescent="0.25">
      <c r="B10" s="86"/>
      <c r="C10" s="86"/>
      <c r="D10" s="86"/>
      <c r="E10" s="55"/>
    </row>
    <row r="11" spans="1:6" ht="30" x14ac:dyDescent="0.25">
      <c r="A11" t="s">
        <v>90</v>
      </c>
      <c r="B11" s="86"/>
      <c r="C11" s="86"/>
      <c r="D11" s="86" t="s">
        <v>78</v>
      </c>
      <c r="E11" s="55" t="s">
        <v>75</v>
      </c>
      <c r="F11" s="2" t="s">
        <v>159</v>
      </c>
    </row>
    <row r="12" spans="1:6" x14ac:dyDescent="0.25">
      <c r="B12" s="86"/>
      <c r="C12" s="86"/>
      <c r="D12" s="86"/>
      <c r="E12" t="s">
        <v>83</v>
      </c>
      <c r="F12" s="48" t="s">
        <v>294</v>
      </c>
    </row>
    <row r="13" spans="1:6" x14ac:dyDescent="0.25">
      <c r="B13" s="86"/>
      <c r="C13" s="98"/>
      <c r="D13" s="86"/>
      <c r="F13" s="117" t="s">
        <v>93</v>
      </c>
    </row>
    <row r="14" spans="1:6" x14ac:dyDescent="0.25">
      <c r="A14" t="s">
        <v>187</v>
      </c>
      <c r="B14" s="86">
        <v>2</v>
      </c>
      <c r="C14" s="86">
        <v>4</v>
      </c>
      <c r="D14" s="86">
        <v>3</v>
      </c>
      <c r="E14" t="s">
        <v>132</v>
      </c>
      <c r="F14" s="117" t="s">
        <v>94</v>
      </c>
    </row>
    <row r="15" spans="1:6" x14ac:dyDescent="0.25">
      <c r="B15" s="86"/>
      <c r="C15" s="26"/>
      <c r="D15" s="86"/>
      <c r="E15" t="s">
        <v>82</v>
      </c>
      <c r="F15" s="117" t="s">
        <v>291</v>
      </c>
    </row>
    <row r="16" spans="1:6" x14ac:dyDescent="0.25">
      <c r="B16" s="86"/>
      <c r="C16" s="26"/>
      <c r="D16" s="86"/>
      <c r="F16" s="16" t="s">
        <v>95</v>
      </c>
    </row>
    <row r="17" spans="1:6" x14ac:dyDescent="0.25">
      <c r="A17" t="s">
        <v>85</v>
      </c>
      <c r="B17" s="99">
        <v>0.5</v>
      </c>
      <c r="C17" s="99">
        <v>0.3</v>
      </c>
      <c r="D17" s="99">
        <v>0.2</v>
      </c>
      <c r="E17" s="2" t="s">
        <v>84</v>
      </c>
      <c r="F17" s="48" t="s">
        <v>74</v>
      </c>
    </row>
    <row r="18" spans="1:6" ht="18.75" x14ac:dyDescent="0.3">
      <c r="B18" s="99"/>
      <c r="C18" s="99"/>
      <c r="D18" s="99"/>
      <c r="E18" s="14"/>
      <c r="F18" s="16" t="s">
        <v>96</v>
      </c>
    </row>
    <row r="19" spans="1:6" x14ac:dyDescent="0.25">
      <c r="A19" s="111" t="s">
        <v>80</v>
      </c>
      <c r="B19" s="115">
        <f>B14*B17+C14*C17+D14*D17</f>
        <v>2.8000000000000003</v>
      </c>
      <c r="C19" s="86"/>
      <c r="D19" s="86"/>
      <c r="E19" t="s">
        <v>79</v>
      </c>
      <c r="F19" s="16" t="s">
        <v>97</v>
      </c>
    </row>
    <row r="20" spans="1:6" x14ac:dyDescent="0.25">
      <c r="F20" s="48" t="s">
        <v>99</v>
      </c>
    </row>
    <row r="21" spans="1:6" x14ac:dyDescent="0.25">
      <c r="A21" s="39"/>
      <c r="F21" s="48" t="s">
        <v>315</v>
      </c>
    </row>
    <row r="22" spans="1:6" x14ac:dyDescent="0.25">
      <c r="F22" s="48" t="s">
        <v>103</v>
      </c>
    </row>
    <row r="23" spans="1:6" x14ac:dyDescent="0.25">
      <c r="A23" s="36"/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F493F-A871-472A-81C0-00EE37DE8186}">
  <dimension ref="A1:N52"/>
  <sheetViews>
    <sheetView workbookViewId="0">
      <selection activeCell="C9" sqref="C9"/>
    </sheetView>
  </sheetViews>
  <sheetFormatPr defaultRowHeight="15" x14ac:dyDescent="0.25"/>
  <cols>
    <col min="1" max="1" width="17.28515625" bestFit="1" customWidth="1"/>
    <col min="2" max="2" width="85.7109375" customWidth="1"/>
    <col min="3" max="3" width="12.7109375" customWidth="1"/>
    <col min="4" max="4" width="16.7109375" customWidth="1"/>
    <col min="5" max="14" width="12.7109375" customWidth="1"/>
  </cols>
  <sheetData>
    <row r="1" spans="1:14" s="89" customFormat="1" x14ac:dyDescent="0.25">
      <c r="A1" s="138"/>
      <c r="B1" s="76" t="s">
        <v>146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</row>
    <row r="2" spans="1:14" x14ac:dyDescent="0.25">
      <c r="B2" s="80" t="s">
        <v>179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</row>
    <row r="3" spans="1:14" x14ac:dyDescent="0.25">
      <c r="B3" s="81" t="s">
        <v>338</v>
      </c>
      <c r="C3" s="82"/>
      <c r="D3" s="82"/>
      <c r="E3" s="82"/>
      <c r="F3" s="82"/>
      <c r="G3" s="82"/>
      <c r="H3" s="5"/>
      <c r="I3" s="5"/>
      <c r="J3" s="5"/>
      <c r="K3" s="5"/>
      <c r="L3" s="5"/>
      <c r="M3" s="5"/>
      <c r="N3" s="5"/>
    </row>
    <row r="4" spans="1:14" x14ac:dyDescent="0.25">
      <c r="A4" t="s">
        <v>307</v>
      </c>
      <c r="B4">
        <v>1200</v>
      </c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</row>
    <row r="5" spans="1:14" x14ac:dyDescent="0.25">
      <c r="A5" t="s">
        <v>308</v>
      </c>
      <c r="B5" s="79">
        <v>0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</row>
    <row r="6" spans="1:14" x14ac:dyDescent="0.25">
      <c r="A6" t="s">
        <v>286</v>
      </c>
      <c r="B6">
        <v>0.25</v>
      </c>
      <c r="C6" s="82"/>
      <c r="D6" s="82"/>
      <c r="E6" s="82"/>
      <c r="F6" s="82"/>
      <c r="G6" s="82"/>
      <c r="H6" s="5"/>
      <c r="I6" s="5"/>
      <c r="J6" s="5"/>
      <c r="K6" s="5"/>
      <c r="L6" s="5"/>
      <c r="M6" s="5"/>
      <c r="N6" s="5"/>
    </row>
    <row r="7" spans="1:14" x14ac:dyDescent="0.25">
      <c r="A7" t="s">
        <v>287</v>
      </c>
      <c r="B7">
        <v>0.5</v>
      </c>
      <c r="C7" s="3"/>
      <c r="D7" s="3"/>
      <c r="E7" s="3"/>
      <c r="F7" s="3"/>
      <c r="G7" s="3"/>
      <c r="H7" s="1"/>
      <c r="I7" s="1"/>
      <c r="J7" s="1"/>
      <c r="K7" s="1"/>
      <c r="L7" s="1"/>
      <c r="M7" s="1"/>
      <c r="N7" s="1"/>
    </row>
    <row r="8" spans="1:14" x14ac:dyDescent="0.25">
      <c r="C8" s="3"/>
      <c r="D8" s="3"/>
      <c r="E8" s="3"/>
      <c r="F8" s="3"/>
      <c r="G8" s="3"/>
      <c r="H8" s="1"/>
      <c r="I8" s="1"/>
      <c r="J8" s="1"/>
      <c r="K8" s="1"/>
      <c r="L8" s="1"/>
      <c r="M8" s="1"/>
      <c r="N8" s="1"/>
    </row>
    <row r="9" spans="1:14" x14ac:dyDescent="0.25">
      <c r="B9" s="28" t="s">
        <v>282</v>
      </c>
      <c r="C9" s="5">
        <f>$B4*($B6-0.08)+600</f>
        <v>804</v>
      </c>
      <c r="D9" s="5">
        <f t="shared" ref="D9:L9" si="0">$B4*($B6-0.08)+600</f>
        <v>804</v>
      </c>
      <c r="E9" s="5">
        <f t="shared" si="0"/>
        <v>804</v>
      </c>
      <c r="F9" s="5">
        <f t="shared" si="0"/>
        <v>804</v>
      </c>
      <c r="G9" s="5">
        <f t="shared" si="0"/>
        <v>804</v>
      </c>
      <c r="H9" s="5">
        <f t="shared" si="0"/>
        <v>804</v>
      </c>
      <c r="I9" s="5">
        <f t="shared" si="0"/>
        <v>804</v>
      </c>
      <c r="J9" s="5">
        <f t="shared" si="0"/>
        <v>804</v>
      </c>
      <c r="K9" s="5">
        <f t="shared" si="0"/>
        <v>804</v>
      </c>
      <c r="L9" s="5">
        <f t="shared" si="0"/>
        <v>804</v>
      </c>
      <c r="M9" s="5"/>
      <c r="N9" s="5"/>
    </row>
    <row r="10" spans="1:14" ht="28.15" customHeight="1" x14ac:dyDescent="0.25">
      <c r="B10" s="55" t="s">
        <v>42</v>
      </c>
      <c r="C10" s="6">
        <v>500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5"/>
      <c r="N10" s="5"/>
    </row>
    <row r="11" spans="1:14" x14ac:dyDescent="0.25">
      <c r="B11" t="s">
        <v>36</v>
      </c>
      <c r="C11" s="6"/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5"/>
      <c r="N11" s="5"/>
    </row>
    <row r="12" spans="1:14" ht="30" x14ac:dyDescent="0.25">
      <c r="B12" s="55" t="s">
        <v>25</v>
      </c>
      <c r="C12" s="6">
        <v>25</v>
      </c>
      <c r="D12" s="6">
        <v>25</v>
      </c>
      <c r="E12" s="6">
        <v>25</v>
      </c>
      <c r="F12" s="6">
        <v>25</v>
      </c>
      <c r="G12" s="6">
        <v>25</v>
      </c>
      <c r="H12" s="6">
        <v>25</v>
      </c>
      <c r="I12" s="6">
        <v>25</v>
      </c>
      <c r="J12" s="6">
        <v>25</v>
      </c>
      <c r="K12" s="6">
        <v>25</v>
      </c>
      <c r="L12" s="6">
        <v>25</v>
      </c>
      <c r="M12" s="5"/>
      <c r="N12" s="5"/>
    </row>
    <row r="13" spans="1:14" x14ac:dyDescent="0.25">
      <c r="B13" t="s">
        <v>19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  <c r="N13" s="5"/>
    </row>
    <row r="14" spans="1:14" x14ac:dyDescent="0.25">
      <c r="B14" t="s">
        <v>21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5"/>
      <c r="N14" s="5"/>
    </row>
    <row r="15" spans="1:14" x14ac:dyDescent="0.25">
      <c r="B15" s="1" t="s">
        <v>1</v>
      </c>
      <c r="C15" s="5">
        <f>C9-SUM(C10:C14)</f>
        <v>279</v>
      </c>
      <c r="D15" s="5">
        <f>D9-SUM(D10:D14)</f>
        <v>779</v>
      </c>
      <c r="E15" s="5">
        <f>E9-SUM(E10:E14)</f>
        <v>779</v>
      </c>
      <c r="F15" s="5">
        <f>F9-SUM(F10:F14)</f>
        <v>779</v>
      </c>
      <c r="G15" s="5">
        <f>G9-SUM(G10:G14)</f>
        <v>779</v>
      </c>
      <c r="H15" s="5">
        <f t="shared" ref="H15:L15" si="1">H9-SUM(H10:H14)</f>
        <v>779</v>
      </c>
      <c r="I15" s="5">
        <f t="shared" si="1"/>
        <v>779</v>
      </c>
      <c r="J15" s="5">
        <f t="shared" si="1"/>
        <v>779</v>
      </c>
      <c r="K15" s="5">
        <f t="shared" si="1"/>
        <v>779</v>
      </c>
      <c r="L15" s="5">
        <f t="shared" si="1"/>
        <v>779</v>
      </c>
      <c r="M15" s="5"/>
      <c r="N15" s="5"/>
    </row>
    <row r="16" spans="1:14" x14ac:dyDescent="0.25">
      <c r="B16" t="s">
        <v>38</v>
      </c>
      <c r="C16" s="6">
        <f>$C30/10</f>
        <v>870</v>
      </c>
      <c r="D16" s="6">
        <f t="shared" ref="D16:L16" si="2">$C30/10</f>
        <v>870</v>
      </c>
      <c r="E16" s="6">
        <f t="shared" si="2"/>
        <v>870</v>
      </c>
      <c r="F16" s="6">
        <f t="shared" si="2"/>
        <v>870</v>
      </c>
      <c r="G16" s="6">
        <f t="shared" si="2"/>
        <v>870</v>
      </c>
      <c r="H16" s="6">
        <f t="shared" si="2"/>
        <v>870</v>
      </c>
      <c r="I16" s="6">
        <f t="shared" si="2"/>
        <v>870</v>
      </c>
      <c r="J16" s="6">
        <f t="shared" si="2"/>
        <v>870</v>
      </c>
      <c r="K16" s="6">
        <f t="shared" si="2"/>
        <v>870</v>
      </c>
      <c r="L16" s="6">
        <f t="shared" si="2"/>
        <v>870</v>
      </c>
      <c r="M16" s="5"/>
      <c r="N16" s="5"/>
    </row>
    <row r="17" spans="2:14" x14ac:dyDescent="0.25">
      <c r="B17" s="1" t="s">
        <v>2</v>
      </c>
      <c r="C17" s="5">
        <f t="shared" ref="C17:L17" si="3">C15-C16</f>
        <v>-591</v>
      </c>
      <c r="D17" s="5">
        <f t="shared" si="3"/>
        <v>-91</v>
      </c>
      <c r="E17" s="5">
        <f t="shared" si="3"/>
        <v>-91</v>
      </c>
      <c r="F17" s="5">
        <f t="shared" si="3"/>
        <v>-91</v>
      </c>
      <c r="G17" s="5">
        <f t="shared" si="3"/>
        <v>-91</v>
      </c>
      <c r="H17" s="5">
        <f t="shared" si="3"/>
        <v>-91</v>
      </c>
      <c r="I17" s="5">
        <f t="shared" si="3"/>
        <v>-91</v>
      </c>
      <c r="J17" s="5">
        <f t="shared" si="3"/>
        <v>-91</v>
      </c>
      <c r="K17" s="5">
        <f t="shared" si="3"/>
        <v>-91</v>
      </c>
      <c r="L17" s="5">
        <f t="shared" si="3"/>
        <v>-91</v>
      </c>
      <c r="M17" s="5"/>
      <c r="N17" s="5"/>
    </row>
    <row r="18" spans="2:14" x14ac:dyDescent="0.25">
      <c r="B18" t="s">
        <v>34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5"/>
      <c r="N18" s="5"/>
    </row>
    <row r="19" spans="2:14" x14ac:dyDescent="0.25">
      <c r="B19" s="1" t="s">
        <v>3</v>
      </c>
      <c r="C19" s="5">
        <f t="shared" ref="C19:L19" si="4">C17-C18</f>
        <v>-591</v>
      </c>
      <c r="D19" s="5">
        <f t="shared" si="4"/>
        <v>-91</v>
      </c>
      <c r="E19" s="5">
        <f t="shared" si="4"/>
        <v>-91</v>
      </c>
      <c r="F19" s="5">
        <f t="shared" si="4"/>
        <v>-91</v>
      </c>
      <c r="G19" s="5">
        <f t="shared" si="4"/>
        <v>-91</v>
      </c>
      <c r="H19" s="5">
        <f t="shared" si="4"/>
        <v>-91</v>
      </c>
      <c r="I19" s="5">
        <f t="shared" si="4"/>
        <v>-91</v>
      </c>
      <c r="J19" s="5">
        <f t="shared" si="4"/>
        <v>-91</v>
      </c>
      <c r="K19" s="5">
        <f t="shared" si="4"/>
        <v>-91</v>
      </c>
      <c r="L19" s="5">
        <f t="shared" si="4"/>
        <v>-91</v>
      </c>
      <c r="M19" s="5"/>
      <c r="N19" s="5"/>
    </row>
    <row r="20" spans="2:14" x14ac:dyDescent="0.25">
      <c r="B20" t="s">
        <v>174</v>
      </c>
      <c r="C20" s="6">
        <f>0.25*C19</f>
        <v>-147.75</v>
      </c>
      <c r="D20" s="6">
        <f>0.25*D19</f>
        <v>-22.75</v>
      </c>
      <c r="E20" s="6">
        <f t="shared" ref="E20:L20" si="5">0.25*E19</f>
        <v>-22.75</v>
      </c>
      <c r="F20" s="6">
        <f t="shared" si="5"/>
        <v>-22.75</v>
      </c>
      <c r="G20" s="6">
        <f t="shared" si="5"/>
        <v>-22.75</v>
      </c>
      <c r="H20" s="6">
        <f t="shared" si="5"/>
        <v>-22.75</v>
      </c>
      <c r="I20" s="6">
        <f t="shared" si="5"/>
        <v>-22.75</v>
      </c>
      <c r="J20" s="6">
        <f t="shared" si="5"/>
        <v>-22.75</v>
      </c>
      <c r="K20" s="6">
        <f t="shared" si="5"/>
        <v>-22.75</v>
      </c>
      <c r="L20" s="6">
        <f t="shared" si="5"/>
        <v>-22.75</v>
      </c>
      <c r="M20" s="5"/>
      <c r="N20" s="5"/>
    </row>
    <row r="21" spans="2:14" x14ac:dyDescent="0.25">
      <c r="B21" s="1" t="s">
        <v>4</v>
      </c>
      <c r="C21" s="5">
        <f t="shared" ref="C21:L21" si="6">C19-C20</f>
        <v>-443.25</v>
      </c>
      <c r="D21" s="5">
        <f t="shared" si="6"/>
        <v>-68.25</v>
      </c>
      <c r="E21" s="5">
        <f t="shared" si="6"/>
        <v>-68.25</v>
      </c>
      <c r="F21" s="5">
        <f t="shared" si="6"/>
        <v>-68.25</v>
      </c>
      <c r="G21" s="5">
        <f t="shared" si="6"/>
        <v>-68.25</v>
      </c>
      <c r="H21" s="5">
        <f t="shared" si="6"/>
        <v>-68.25</v>
      </c>
      <c r="I21" s="5">
        <f t="shared" si="6"/>
        <v>-68.25</v>
      </c>
      <c r="J21" s="5">
        <f t="shared" si="6"/>
        <v>-68.25</v>
      </c>
      <c r="K21" s="5">
        <f t="shared" si="6"/>
        <v>-68.25</v>
      </c>
      <c r="L21" s="5">
        <f t="shared" si="6"/>
        <v>-68.25</v>
      </c>
      <c r="M21" s="5"/>
      <c r="N21" s="5"/>
    </row>
    <row r="22" spans="2:14" x14ac:dyDescent="0.25">
      <c r="B22" t="s">
        <v>35</v>
      </c>
      <c r="C22" s="6">
        <f>C16</f>
        <v>870</v>
      </c>
      <c r="D22" s="6">
        <f>D16</f>
        <v>870</v>
      </c>
      <c r="E22" s="6">
        <f>E16</f>
        <v>870</v>
      </c>
      <c r="F22" s="6">
        <f>F16</f>
        <v>870</v>
      </c>
      <c r="G22" s="6">
        <f>G16</f>
        <v>870</v>
      </c>
      <c r="H22" s="6">
        <f t="shared" ref="H22:L22" si="7">H16</f>
        <v>870</v>
      </c>
      <c r="I22" s="6">
        <f t="shared" si="7"/>
        <v>870</v>
      </c>
      <c r="J22" s="6">
        <f t="shared" si="7"/>
        <v>870</v>
      </c>
      <c r="K22" s="6">
        <f t="shared" si="7"/>
        <v>870</v>
      </c>
      <c r="L22" s="6">
        <f t="shared" si="7"/>
        <v>870</v>
      </c>
      <c r="M22" s="5"/>
      <c r="N22" s="5"/>
    </row>
    <row r="23" spans="2:14" x14ac:dyDescent="0.25">
      <c r="B23" t="s">
        <v>39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5"/>
      <c r="N23" s="5"/>
    </row>
    <row r="24" spans="2:14" x14ac:dyDescent="0.25">
      <c r="B24" t="s">
        <v>117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5"/>
      <c r="N24" s="5"/>
    </row>
    <row r="25" spans="2:14" x14ac:dyDescent="0.25">
      <c r="B25" t="s">
        <v>33</v>
      </c>
      <c r="C25" s="12">
        <f>C30*0.5</f>
        <v>4350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5"/>
      <c r="N25" s="5"/>
    </row>
    <row r="26" spans="2:14" x14ac:dyDescent="0.25">
      <c r="B26" s="1" t="s">
        <v>5</v>
      </c>
      <c r="C26" s="5">
        <f t="shared" ref="C26:H26" si="8">C21+SUM(C22:C25)</f>
        <v>4776.75</v>
      </c>
      <c r="D26" s="5">
        <f t="shared" si="8"/>
        <v>801.75</v>
      </c>
      <c r="E26" s="5">
        <f t="shared" si="8"/>
        <v>801.75</v>
      </c>
      <c r="F26" s="5">
        <f t="shared" si="8"/>
        <v>801.75</v>
      </c>
      <c r="G26" s="5">
        <f t="shared" si="8"/>
        <v>801.75</v>
      </c>
      <c r="H26" s="5">
        <f t="shared" si="8"/>
        <v>801.75</v>
      </c>
      <c r="I26" s="5">
        <f t="shared" ref="I26:L26" si="9">I21+SUM(I22:I25)</f>
        <v>801.75</v>
      </c>
      <c r="J26" s="5">
        <f t="shared" si="9"/>
        <v>801.75</v>
      </c>
      <c r="K26" s="5">
        <f t="shared" si="9"/>
        <v>801.75</v>
      </c>
      <c r="L26" s="5">
        <f t="shared" si="9"/>
        <v>801.75</v>
      </c>
      <c r="M26" s="5"/>
      <c r="N26" s="5"/>
    </row>
    <row r="27" spans="2:14" x14ac:dyDescent="0.25"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s="113" customFormat="1" x14ac:dyDescent="0.25">
      <c r="B28" s="114" t="s">
        <v>27</v>
      </c>
      <c r="C28" s="114"/>
      <c r="D28" s="114" t="s">
        <v>44</v>
      </c>
      <c r="E28" s="90" t="s">
        <v>0</v>
      </c>
      <c r="F28" s="90" t="s">
        <v>226</v>
      </c>
      <c r="G28" s="90" t="s">
        <v>227</v>
      </c>
      <c r="H28" s="90" t="s">
        <v>228</v>
      </c>
      <c r="I28" s="90" t="s">
        <v>229</v>
      </c>
      <c r="J28" s="90" t="s">
        <v>230</v>
      </c>
      <c r="K28" s="90" t="s">
        <v>231</v>
      </c>
      <c r="L28" s="90" t="s">
        <v>232</v>
      </c>
      <c r="M28" s="90" t="s">
        <v>233</v>
      </c>
      <c r="N28" s="90" t="s">
        <v>234</v>
      </c>
    </row>
    <row r="29" spans="2:14" x14ac:dyDescent="0.25">
      <c r="B29" s="7" t="s">
        <v>41</v>
      </c>
      <c r="C29" s="8">
        <f>SUM(C26:L26)</f>
        <v>11992.5</v>
      </c>
      <c r="D29" s="6" t="s">
        <v>29</v>
      </c>
      <c r="E29" s="10">
        <f>C26-C30</f>
        <v>-3923.25</v>
      </c>
      <c r="F29" s="10">
        <f>E29+D26</f>
        <v>-3121.5</v>
      </c>
      <c r="G29" s="10">
        <f t="shared" ref="G29:N29" si="10">F29+E26</f>
        <v>-2319.75</v>
      </c>
      <c r="H29" s="10">
        <f t="shared" si="10"/>
        <v>-1518</v>
      </c>
      <c r="I29" s="10">
        <f t="shared" si="10"/>
        <v>-716.25</v>
      </c>
      <c r="J29" s="10">
        <f t="shared" si="10"/>
        <v>85.5</v>
      </c>
      <c r="K29" s="10">
        <f t="shared" si="10"/>
        <v>887.25</v>
      </c>
      <c r="L29" s="10">
        <f t="shared" si="10"/>
        <v>1689</v>
      </c>
      <c r="M29" s="10">
        <f t="shared" si="10"/>
        <v>2490.75</v>
      </c>
      <c r="N29" s="10">
        <f t="shared" si="10"/>
        <v>3292.5</v>
      </c>
    </row>
    <row r="30" spans="2:14" x14ac:dyDescent="0.25">
      <c r="B30" s="7" t="s">
        <v>32</v>
      </c>
      <c r="C30" s="8">
        <v>8700</v>
      </c>
      <c r="D30" s="5"/>
      <c r="G30" t="s">
        <v>283</v>
      </c>
      <c r="J30" s="5"/>
      <c r="K30" s="5"/>
      <c r="L30" s="5"/>
      <c r="M30" s="5"/>
      <c r="N30" s="5"/>
    </row>
    <row r="31" spans="2:14" x14ac:dyDescent="0.25">
      <c r="B31" s="7" t="s">
        <v>18</v>
      </c>
      <c r="C31" s="8"/>
      <c r="D31" s="5"/>
      <c r="J31" s="5"/>
      <c r="K31" s="5"/>
      <c r="L31" s="5"/>
      <c r="M31" s="5"/>
      <c r="N31" s="5"/>
    </row>
    <row r="32" spans="2:14" x14ac:dyDescent="0.25">
      <c r="B32" s="7" t="s">
        <v>8</v>
      </c>
      <c r="C32" s="8">
        <f>C29-C30</f>
        <v>3292.5</v>
      </c>
      <c r="D32" s="5"/>
      <c r="J32" s="5"/>
      <c r="K32" s="5"/>
      <c r="L32" s="5"/>
      <c r="M32" s="5"/>
      <c r="N32" s="5"/>
    </row>
    <row r="33" spans="2:14" x14ac:dyDescent="0.25">
      <c r="B33" s="18" t="s">
        <v>10</v>
      </c>
      <c r="C33" s="9">
        <f>C32/C30*100%</f>
        <v>0.37844827586206897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x14ac:dyDescent="0.25">
      <c r="C34" s="2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x14ac:dyDescent="0.25">
      <c r="B35" t="s">
        <v>31</v>
      </c>
      <c r="C35" s="4">
        <v>0.05</v>
      </c>
      <c r="D35" s="6"/>
      <c r="E35" s="6"/>
    </row>
    <row r="36" spans="2:14" x14ac:dyDescent="0.25">
      <c r="B36" s="1" t="s">
        <v>6</v>
      </c>
      <c r="C36" s="5">
        <f>C26/(1+$C35)</f>
        <v>4549.2857142857138</v>
      </c>
      <c r="D36" s="5">
        <f>D26/(1+$C35)^2</f>
        <v>727.21088435374145</v>
      </c>
      <c r="E36" s="5">
        <f>E26/(1+$C35)^3</f>
        <v>692.58179462261091</v>
      </c>
      <c r="F36" s="5">
        <f>F26/(1+$C35)^4</f>
        <v>659.60170916439142</v>
      </c>
      <c r="G36" s="5">
        <f>G26/(1+$C35)^5</f>
        <v>628.19210396608696</v>
      </c>
      <c r="H36" s="5">
        <f>H26/(1+$C35)^6</f>
        <v>598.27819425341625</v>
      </c>
      <c r="I36" s="5">
        <f>I26/(1+$C35)^7</f>
        <v>569.78875643182482</v>
      </c>
      <c r="J36" s="5">
        <f>J26/(1+$C35)^8</f>
        <v>542.65595850649993</v>
      </c>
      <c r="K36" s="5">
        <f>K26/(1+$C35)^9</f>
        <v>516.81519857761896</v>
      </c>
      <c r="L36" s="5">
        <f>L26/(1+$C35)^10</f>
        <v>492.20495102630377</v>
      </c>
      <c r="M36" s="5">
        <f>M26/(1+$C35)^11</f>
        <v>0</v>
      </c>
      <c r="N36" s="5">
        <f>N26/(1+$C35)^12</f>
        <v>0</v>
      </c>
    </row>
    <row r="37" spans="2:14" x14ac:dyDescent="0.25">
      <c r="B37" s="1"/>
      <c r="C37" s="5"/>
      <c r="D37" s="5"/>
      <c r="E37" s="5"/>
      <c r="F37" s="5"/>
      <c r="G37" s="5"/>
      <c r="H37" s="5"/>
      <c r="I37" s="1"/>
      <c r="J37" s="1"/>
      <c r="K37" s="1"/>
      <c r="L37" s="1"/>
      <c r="M37" s="1"/>
      <c r="N37" s="1"/>
    </row>
    <row r="38" spans="2:14" s="113" customFormat="1" x14ac:dyDescent="0.25">
      <c r="B38" s="123" t="s">
        <v>28</v>
      </c>
      <c r="C38" s="126"/>
      <c r="D38" s="123" t="s">
        <v>44</v>
      </c>
      <c r="E38" s="90" t="s">
        <v>0</v>
      </c>
      <c r="F38" s="90" t="s">
        <v>226</v>
      </c>
      <c r="G38" s="90" t="s">
        <v>227</v>
      </c>
      <c r="H38" s="90" t="s">
        <v>228</v>
      </c>
      <c r="I38" s="90" t="s">
        <v>229</v>
      </c>
      <c r="J38" s="90" t="s">
        <v>230</v>
      </c>
      <c r="K38" s="90" t="s">
        <v>231</v>
      </c>
      <c r="L38" s="90" t="s">
        <v>232</v>
      </c>
      <c r="M38" s="90" t="s">
        <v>233</v>
      </c>
      <c r="N38" s="90" t="s">
        <v>234</v>
      </c>
    </row>
    <row r="39" spans="2:14" x14ac:dyDescent="0.25">
      <c r="B39" s="7" t="s">
        <v>40</v>
      </c>
      <c r="C39" s="8">
        <f>SUM(C36:L36)</f>
        <v>9976.6152651882094</v>
      </c>
      <c r="D39" s="6" t="s">
        <v>30</v>
      </c>
      <c r="E39" s="10">
        <f>C36-C40</f>
        <v>-4150.7142857142862</v>
      </c>
      <c r="F39" s="10">
        <f>E39+D36</f>
        <v>-3423.5034013605446</v>
      </c>
      <c r="G39" s="10">
        <f t="shared" ref="G39:N39" si="11">F39+E36</f>
        <v>-2730.9216067379339</v>
      </c>
      <c r="H39" s="10">
        <f t="shared" si="11"/>
        <v>-2071.3198975735422</v>
      </c>
      <c r="I39" s="10">
        <f t="shared" si="11"/>
        <v>-1443.1277936074553</v>
      </c>
      <c r="J39" s="10">
        <f t="shared" si="11"/>
        <v>-844.84959935403901</v>
      </c>
      <c r="K39" s="10">
        <f t="shared" si="11"/>
        <v>-275.06084292221419</v>
      </c>
      <c r="L39" s="10">
        <f t="shared" si="11"/>
        <v>267.59511558428574</v>
      </c>
      <c r="M39" s="10">
        <f t="shared" si="11"/>
        <v>784.41031416190469</v>
      </c>
      <c r="N39" s="10">
        <f t="shared" si="11"/>
        <v>1276.6152651882085</v>
      </c>
    </row>
    <row r="40" spans="2:14" x14ac:dyDescent="0.25">
      <c r="B40" s="7" t="s">
        <v>17</v>
      </c>
      <c r="C40" s="8">
        <v>8700</v>
      </c>
      <c r="D40" s="6"/>
      <c r="G40" t="s">
        <v>284</v>
      </c>
    </row>
    <row r="41" spans="2:14" x14ac:dyDescent="0.25">
      <c r="B41" s="7" t="s">
        <v>18</v>
      </c>
      <c r="C41" s="8"/>
      <c r="D41" s="6"/>
    </row>
    <row r="42" spans="2:14" x14ac:dyDescent="0.25">
      <c r="B42" s="7" t="s">
        <v>37</v>
      </c>
      <c r="C42" s="8">
        <f>C39-C40</f>
        <v>1276.6152651882094</v>
      </c>
      <c r="D42" s="6"/>
    </row>
    <row r="43" spans="2:14" x14ac:dyDescent="0.25">
      <c r="B43" s="142" t="s">
        <v>9</v>
      </c>
      <c r="C43" s="143">
        <f>(C42/C40)*100%</f>
        <v>0.14673738680324247</v>
      </c>
      <c r="D43" s="6"/>
      <c r="E43" s="5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25">
      <c r="B44" s="69"/>
      <c r="C44" s="70"/>
      <c r="E44" s="10"/>
      <c r="F44" s="10"/>
      <c r="G44" s="10"/>
      <c r="H44" s="10"/>
      <c r="I44" s="10"/>
      <c r="J44" s="10"/>
    </row>
    <row r="45" spans="2:14" ht="15.75" thickBot="1" x14ac:dyDescent="0.3">
      <c r="B45" t="s">
        <v>285</v>
      </c>
    </row>
    <row r="46" spans="2:14" x14ac:dyDescent="0.25">
      <c r="B46" s="83" t="s">
        <v>155</v>
      </c>
      <c r="C46" s="88"/>
      <c r="H46" s="1"/>
    </row>
    <row r="47" spans="2:14" x14ac:dyDescent="0.25">
      <c r="B47" s="42" t="s">
        <v>151</v>
      </c>
      <c r="C47" s="43" t="s">
        <v>157</v>
      </c>
      <c r="H47" s="10"/>
      <c r="I47" s="10"/>
      <c r="J47" s="10"/>
    </row>
    <row r="48" spans="2:14" x14ac:dyDescent="0.25">
      <c r="B48" s="42" t="s">
        <v>152</v>
      </c>
      <c r="C48" s="43" t="s">
        <v>157</v>
      </c>
    </row>
    <row r="49" spans="2:3" x14ac:dyDescent="0.25">
      <c r="B49" s="42"/>
      <c r="C49" s="45"/>
    </row>
    <row r="50" spans="2:3" x14ac:dyDescent="0.25">
      <c r="B50" s="84" t="s">
        <v>156</v>
      </c>
      <c r="C50" s="108"/>
    </row>
    <row r="51" spans="2:3" x14ac:dyDescent="0.25">
      <c r="B51" s="42" t="s">
        <v>153</v>
      </c>
      <c r="C51" s="43" t="s">
        <v>225</v>
      </c>
    </row>
    <row r="52" spans="2:3" ht="15.75" thickBot="1" x14ac:dyDescent="0.3">
      <c r="B52" s="46" t="s">
        <v>154</v>
      </c>
      <c r="C52" s="47" t="s">
        <v>222</v>
      </c>
    </row>
  </sheetData>
  <phoneticPr fontId="6" type="noConversion"/>
  <pageMargins left="0.7" right="0.7" top="0.75" bottom="0.75" header="0.3" footer="0.3"/>
  <ignoredErrors>
    <ignoredError sqref="C20:L20" formula="1"/>
  </ignoredErrors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A50"/>
  <sheetViews>
    <sheetView workbookViewId="0">
      <selection activeCell="B23" sqref="B23"/>
    </sheetView>
  </sheetViews>
  <sheetFormatPr defaultRowHeight="15" x14ac:dyDescent="0.25"/>
  <cols>
    <col min="1" max="1" width="17.28515625" bestFit="1" customWidth="1"/>
    <col min="2" max="2" width="85.7109375" customWidth="1"/>
    <col min="3" max="3" width="12.7109375" customWidth="1"/>
    <col min="4" max="4" width="16.7109375" customWidth="1"/>
    <col min="5" max="24" width="12.7109375" customWidth="1"/>
    <col min="25" max="44" width="10.28515625" customWidth="1"/>
    <col min="45" max="45" width="7.42578125" customWidth="1"/>
  </cols>
  <sheetData>
    <row r="1" spans="1:24" x14ac:dyDescent="0.25">
      <c r="B1" s="74" t="s">
        <v>139</v>
      </c>
      <c r="C1" s="76" t="s">
        <v>0</v>
      </c>
      <c r="D1" s="76" t="s">
        <v>226</v>
      </c>
      <c r="E1" s="76" t="s">
        <v>227</v>
      </c>
      <c r="F1" s="76" t="s">
        <v>228</v>
      </c>
      <c r="G1" s="76" t="s">
        <v>229</v>
      </c>
      <c r="H1" s="76" t="s">
        <v>230</v>
      </c>
      <c r="I1" s="76" t="s">
        <v>231</v>
      </c>
      <c r="J1" s="76" t="s">
        <v>232</v>
      </c>
      <c r="K1" s="76" t="s">
        <v>233</v>
      </c>
      <c r="L1" s="76" t="s">
        <v>234</v>
      </c>
      <c r="M1" s="76" t="s">
        <v>235</v>
      </c>
      <c r="N1" s="76" t="s">
        <v>236</v>
      </c>
      <c r="O1" s="76" t="s">
        <v>237</v>
      </c>
      <c r="P1" s="76" t="s">
        <v>238</v>
      </c>
      <c r="Q1" s="76" t="s">
        <v>239</v>
      </c>
      <c r="R1" s="76" t="s">
        <v>240</v>
      </c>
      <c r="S1" s="76" t="s">
        <v>241</v>
      </c>
      <c r="T1" s="76" t="s">
        <v>242</v>
      </c>
      <c r="U1" s="76" t="s">
        <v>243</v>
      </c>
      <c r="V1" s="76" t="s">
        <v>244</v>
      </c>
      <c r="W1" s="76" t="s">
        <v>245</v>
      </c>
      <c r="X1" s="76" t="s">
        <v>246</v>
      </c>
    </row>
    <row r="2" spans="1:24" x14ac:dyDescent="0.25">
      <c r="B2" s="2" t="s">
        <v>177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t="s">
        <v>307</v>
      </c>
      <c r="B3">
        <v>4500</v>
      </c>
      <c r="C3" s="30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t="s">
        <v>308</v>
      </c>
      <c r="B4" s="34">
        <v>-660</v>
      </c>
      <c r="C4" s="30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t="s">
        <v>286</v>
      </c>
      <c r="B5" s="2">
        <v>0.25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t="s">
        <v>287</v>
      </c>
      <c r="B6" s="2">
        <v>0.5</v>
      </c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B7" s="1"/>
      <c r="C7" s="82"/>
      <c r="D7" s="82"/>
      <c r="E7" s="82"/>
      <c r="F7" s="82"/>
      <c r="G7" s="8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B8" s="144" t="s">
        <v>281</v>
      </c>
      <c r="C8" s="5">
        <f>$B3*$B5+$B4*$B6</f>
        <v>795</v>
      </c>
      <c r="D8" s="5">
        <f t="shared" ref="D8:V8" si="0">$B3*$B5+$B4*$B6</f>
        <v>795</v>
      </c>
      <c r="E8" s="5">
        <f t="shared" si="0"/>
        <v>795</v>
      </c>
      <c r="F8" s="5">
        <f t="shared" si="0"/>
        <v>795</v>
      </c>
      <c r="G8" s="5">
        <f t="shared" si="0"/>
        <v>795</v>
      </c>
      <c r="H8" s="5">
        <f t="shared" si="0"/>
        <v>795</v>
      </c>
      <c r="I8" s="5">
        <f t="shared" si="0"/>
        <v>795</v>
      </c>
      <c r="J8" s="5">
        <f t="shared" si="0"/>
        <v>795</v>
      </c>
      <c r="K8" s="5">
        <f t="shared" si="0"/>
        <v>795</v>
      </c>
      <c r="L8" s="5">
        <f t="shared" si="0"/>
        <v>795</v>
      </c>
      <c r="M8" s="5">
        <f t="shared" si="0"/>
        <v>795</v>
      </c>
      <c r="N8" s="5">
        <f t="shared" si="0"/>
        <v>795</v>
      </c>
      <c r="O8" s="5">
        <f t="shared" si="0"/>
        <v>795</v>
      </c>
      <c r="P8" s="5">
        <f t="shared" si="0"/>
        <v>795</v>
      </c>
      <c r="Q8" s="5">
        <f t="shared" si="0"/>
        <v>795</v>
      </c>
      <c r="R8" s="5">
        <f t="shared" si="0"/>
        <v>795</v>
      </c>
      <c r="S8" s="5">
        <f t="shared" si="0"/>
        <v>795</v>
      </c>
      <c r="T8" s="5">
        <f t="shared" si="0"/>
        <v>795</v>
      </c>
      <c r="U8" s="5">
        <f t="shared" si="0"/>
        <v>795</v>
      </c>
      <c r="V8" s="5">
        <f t="shared" si="0"/>
        <v>795</v>
      </c>
      <c r="W8" s="5">
        <v>0</v>
      </c>
      <c r="X8" s="5">
        <v>0</v>
      </c>
    </row>
    <row r="9" spans="1:24" x14ac:dyDescent="0.25">
      <c r="B9" t="s">
        <v>54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/>
      <c r="S9" s="6"/>
      <c r="T9" s="6"/>
      <c r="U9" s="6"/>
      <c r="V9" s="6"/>
      <c r="W9" s="6"/>
      <c r="X9" s="6"/>
    </row>
    <row r="10" spans="1:24" x14ac:dyDescent="0.25">
      <c r="B10" t="s">
        <v>133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/>
      <c r="S10" s="6"/>
      <c r="T10" s="6"/>
      <c r="U10" s="6"/>
      <c r="V10" s="6"/>
      <c r="W10" s="6"/>
      <c r="X10" s="6"/>
    </row>
    <row r="11" spans="1:24" x14ac:dyDescent="0.25">
      <c r="B11" t="s">
        <v>135</v>
      </c>
      <c r="C11" s="6">
        <v>50</v>
      </c>
      <c r="D11" s="6">
        <v>50</v>
      </c>
      <c r="E11" s="6">
        <v>50</v>
      </c>
      <c r="F11" s="6">
        <v>50</v>
      </c>
      <c r="G11" s="6">
        <v>50</v>
      </c>
      <c r="H11" s="6">
        <v>50</v>
      </c>
      <c r="I11" s="6">
        <v>50</v>
      </c>
      <c r="J11" s="6">
        <v>50</v>
      </c>
      <c r="K11" s="6">
        <v>50</v>
      </c>
      <c r="L11" s="6">
        <v>50</v>
      </c>
      <c r="M11" s="6">
        <v>50</v>
      </c>
      <c r="N11" s="6">
        <v>50</v>
      </c>
      <c r="O11" s="6">
        <v>50</v>
      </c>
      <c r="P11" s="6">
        <v>50</v>
      </c>
      <c r="Q11" s="6">
        <v>50</v>
      </c>
      <c r="R11" s="6">
        <v>50</v>
      </c>
      <c r="S11" s="6">
        <v>50</v>
      </c>
      <c r="T11" s="6">
        <v>50</v>
      </c>
      <c r="U11" s="6">
        <v>50</v>
      </c>
      <c r="V11" s="6">
        <v>50</v>
      </c>
      <c r="W11" s="6">
        <v>0</v>
      </c>
      <c r="X11" s="6">
        <v>0</v>
      </c>
    </row>
    <row r="12" spans="1:24" x14ac:dyDescent="0.25">
      <c r="B12" t="s">
        <v>134</v>
      </c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/>
      <c r="S12" s="6"/>
      <c r="T12" s="6"/>
      <c r="U12" s="6"/>
      <c r="V12" s="6"/>
      <c r="W12" s="6"/>
      <c r="X12" s="6"/>
    </row>
    <row r="13" spans="1:24" x14ac:dyDescent="0.25">
      <c r="B13" t="s">
        <v>21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/>
      <c r="S13" s="6"/>
      <c r="T13" s="6"/>
      <c r="U13" s="6"/>
      <c r="V13" s="6"/>
      <c r="W13" s="6"/>
      <c r="X13" s="6"/>
    </row>
    <row r="14" spans="1:24" x14ac:dyDescent="0.25">
      <c r="B14" s="1" t="s">
        <v>1</v>
      </c>
      <c r="C14" s="5">
        <f>C8-SUM(C9:C13)</f>
        <v>745</v>
      </c>
      <c r="D14" s="5">
        <f>D8-SUM(D9:D13)</f>
        <v>745</v>
      </c>
      <c r="E14" s="5">
        <f>E8-SUM(E9:E13)</f>
        <v>745</v>
      </c>
      <c r="F14" s="5">
        <f>F8-SUM(F9:F13)</f>
        <v>745</v>
      </c>
      <c r="G14" s="5">
        <f>G8-SUM(G9:G13)</f>
        <v>745</v>
      </c>
      <c r="H14" s="5">
        <f t="shared" ref="H14:X14" si="1">H8-SUM(H9:H13)</f>
        <v>745</v>
      </c>
      <c r="I14" s="5">
        <f t="shared" si="1"/>
        <v>745</v>
      </c>
      <c r="J14" s="5">
        <f t="shared" si="1"/>
        <v>745</v>
      </c>
      <c r="K14" s="5">
        <f t="shared" si="1"/>
        <v>745</v>
      </c>
      <c r="L14" s="5">
        <f t="shared" si="1"/>
        <v>745</v>
      </c>
      <c r="M14" s="5">
        <f t="shared" si="1"/>
        <v>745</v>
      </c>
      <c r="N14" s="5">
        <f t="shared" si="1"/>
        <v>745</v>
      </c>
      <c r="O14" s="5">
        <f t="shared" si="1"/>
        <v>745</v>
      </c>
      <c r="P14" s="5">
        <f t="shared" si="1"/>
        <v>745</v>
      </c>
      <c r="Q14" s="5">
        <f t="shared" si="1"/>
        <v>745</v>
      </c>
      <c r="R14" s="5">
        <f t="shared" si="1"/>
        <v>745</v>
      </c>
      <c r="S14" s="5">
        <f t="shared" si="1"/>
        <v>745</v>
      </c>
      <c r="T14" s="5">
        <f t="shared" si="1"/>
        <v>745</v>
      </c>
      <c r="U14" s="5">
        <f t="shared" si="1"/>
        <v>745</v>
      </c>
      <c r="V14" s="5">
        <f t="shared" si="1"/>
        <v>745</v>
      </c>
      <c r="W14" s="5">
        <f t="shared" si="1"/>
        <v>0</v>
      </c>
      <c r="X14" s="5">
        <f t="shared" si="1"/>
        <v>0</v>
      </c>
    </row>
    <row r="15" spans="1:24" ht="30" x14ac:dyDescent="0.25">
      <c r="B15" s="55" t="s">
        <v>16</v>
      </c>
      <c r="C15" s="6">
        <f>$C29/20</f>
        <v>600</v>
      </c>
      <c r="D15" s="6">
        <f t="shared" ref="D15:V15" si="2">$C29/20</f>
        <v>600</v>
      </c>
      <c r="E15" s="6">
        <f t="shared" si="2"/>
        <v>600</v>
      </c>
      <c r="F15" s="6">
        <f t="shared" si="2"/>
        <v>600</v>
      </c>
      <c r="G15" s="6">
        <f t="shared" si="2"/>
        <v>600</v>
      </c>
      <c r="H15" s="6">
        <f t="shared" si="2"/>
        <v>600</v>
      </c>
      <c r="I15" s="6">
        <f t="shared" si="2"/>
        <v>600</v>
      </c>
      <c r="J15" s="6">
        <f t="shared" si="2"/>
        <v>600</v>
      </c>
      <c r="K15" s="6">
        <f t="shared" si="2"/>
        <v>600</v>
      </c>
      <c r="L15" s="6">
        <f t="shared" si="2"/>
        <v>600</v>
      </c>
      <c r="M15" s="6">
        <f t="shared" si="2"/>
        <v>600</v>
      </c>
      <c r="N15" s="6">
        <f t="shared" si="2"/>
        <v>600</v>
      </c>
      <c r="O15" s="6">
        <f t="shared" si="2"/>
        <v>600</v>
      </c>
      <c r="P15" s="6">
        <f t="shared" si="2"/>
        <v>600</v>
      </c>
      <c r="Q15" s="6">
        <f t="shared" si="2"/>
        <v>600</v>
      </c>
      <c r="R15" s="6">
        <f t="shared" si="2"/>
        <v>600</v>
      </c>
      <c r="S15" s="6">
        <f t="shared" si="2"/>
        <v>600</v>
      </c>
      <c r="T15" s="6">
        <f t="shared" si="2"/>
        <v>600</v>
      </c>
      <c r="U15" s="6">
        <f t="shared" si="2"/>
        <v>600</v>
      </c>
      <c r="V15" s="6">
        <f t="shared" si="2"/>
        <v>600</v>
      </c>
      <c r="W15" s="6">
        <v>0</v>
      </c>
      <c r="X15" s="6">
        <v>0</v>
      </c>
    </row>
    <row r="16" spans="1:24" x14ac:dyDescent="0.25">
      <c r="B16" s="1" t="s">
        <v>2</v>
      </c>
      <c r="C16" s="5">
        <f t="shared" ref="C16:X16" si="3">C14-C15</f>
        <v>145</v>
      </c>
      <c r="D16" s="5">
        <f t="shared" si="3"/>
        <v>145</v>
      </c>
      <c r="E16" s="5">
        <f t="shared" si="3"/>
        <v>145</v>
      </c>
      <c r="F16" s="5">
        <f t="shared" si="3"/>
        <v>145</v>
      </c>
      <c r="G16" s="5">
        <f t="shared" si="3"/>
        <v>145</v>
      </c>
      <c r="H16" s="5">
        <f t="shared" si="3"/>
        <v>145</v>
      </c>
      <c r="I16" s="5">
        <f t="shared" si="3"/>
        <v>145</v>
      </c>
      <c r="J16" s="5">
        <f t="shared" si="3"/>
        <v>145</v>
      </c>
      <c r="K16" s="5">
        <f t="shared" si="3"/>
        <v>145</v>
      </c>
      <c r="L16" s="5">
        <f t="shared" si="3"/>
        <v>145</v>
      </c>
      <c r="M16" s="5">
        <f t="shared" si="3"/>
        <v>145</v>
      </c>
      <c r="N16" s="5">
        <f t="shared" si="3"/>
        <v>145</v>
      </c>
      <c r="O16" s="5">
        <f t="shared" si="3"/>
        <v>145</v>
      </c>
      <c r="P16" s="5">
        <f t="shared" si="3"/>
        <v>145</v>
      </c>
      <c r="Q16" s="5">
        <f t="shared" si="3"/>
        <v>145</v>
      </c>
      <c r="R16" s="5">
        <f t="shared" si="3"/>
        <v>145</v>
      </c>
      <c r="S16" s="5">
        <f t="shared" si="3"/>
        <v>145</v>
      </c>
      <c r="T16" s="5">
        <f t="shared" si="3"/>
        <v>145</v>
      </c>
      <c r="U16" s="5">
        <f t="shared" si="3"/>
        <v>145</v>
      </c>
      <c r="V16" s="5">
        <f t="shared" si="3"/>
        <v>145</v>
      </c>
      <c r="W16" s="5">
        <f t="shared" si="3"/>
        <v>0</v>
      </c>
      <c r="X16" s="5">
        <f t="shared" si="3"/>
        <v>0</v>
      </c>
    </row>
    <row r="17" spans="2:24" x14ac:dyDescent="0.25">
      <c r="B17" s="55" t="s">
        <v>23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</row>
    <row r="18" spans="2:24" x14ac:dyDescent="0.25">
      <c r="B18" s="1" t="s">
        <v>3</v>
      </c>
      <c r="C18" s="5">
        <f t="shared" ref="C18:X18" si="4">C16-C17</f>
        <v>145</v>
      </c>
      <c r="D18" s="5">
        <f t="shared" si="4"/>
        <v>145</v>
      </c>
      <c r="E18" s="5">
        <f t="shared" si="4"/>
        <v>145</v>
      </c>
      <c r="F18" s="5">
        <f t="shared" si="4"/>
        <v>145</v>
      </c>
      <c r="G18" s="5">
        <f t="shared" si="4"/>
        <v>145</v>
      </c>
      <c r="H18" s="5">
        <f t="shared" si="4"/>
        <v>145</v>
      </c>
      <c r="I18" s="5">
        <f t="shared" si="4"/>
        <v>145</v>
      </c>
      <c r="J18" s="5">
        <f t="shared" si="4"/>
        <v>145</v>
      </c>
      <c r="K18" s="5">
        <f t="shared" si="4"/>
        <v>145</v>
      </c>
      <c r="L18" s="5">
        <f t="shared" si="4"/>
        <v>145</v>
      </c>
      <c r="M18" s="5">
        <f t="shared" si="4"/>
        <v>145</v>
      </c>
      <c r="N18" s="5">
        <f t="shared" si="4"/>
        <v>145</v>
      </c>
      <c r="O18" s="5">
        <f t="shared" si="4"/>
        <v>145</v>
      </c>
      <c r="P18" s="5">
        <f t="shared" si="4"/>
        <v>145</v>
      </c>
      <c r="Q18" s="5">
        <f t="shared" si="4"/>
        <v>145</v>
      </c>
      <c r="R18" s="5">
        <f t="shared" si="4"/>
        <v>145</v>
      </c>
      <c r="S18" s="5">
        <f t="shared" si="4"/>
        <v>145</v>
      </c>
      <c r="T18" s="5">
        <f t="shared" si="4"/>
        <v>145</v>
      </c>
      <c r="U18" s="5">
        <f t="shared" si="4"/>
        <v>145</v>
      </c>
      <c r="V18" s="5">
        <f t="shared" si="4"/>
        <v>145</v>
      </c>
      <c r="W18" s="5">
        <f t="shared" si="4"/>
        <v>0</v>
      </c>
      <c r="X18" s="5">
        <f t="shared" si="4"/>
        <v>0</v>
      </c>
    </row>
    <row r="19" spans="2:24" x14ac:dyDescent="0.25">
      <c r="B19" t="s">
        <v>20</v>
      </c>
      <c r="C19" s="6">
        <f>0.25*C18</f>
        <v>36.25</v>
      </c>
      <c r="D19" s="6">
        <f t="shared" ref="D19:X19" si="5">0.25*D18</f>
        <v>36.25</v>
      </c>
      <c r="E19" s="6">
        <f t="shared" si="5"/>
        <v>36.25</v>
      </c>
      <c r="F19" s="6">
        <f t="shared" si="5"/>
        <v>36.25</v>
      </c>
      <c r="G19" s="6">
        <f t="shared" si="5"/>
        <v>36.25</v>
      </c>
      <c r="H19" s="6">
        <f t="shared" si="5"/>
        <v>36.25</v>
      </c>
      <c r="I19" s="6">
        <f t="shared" si="5"/>
        <v>36.25</v>
      </c>
      <c r="J19" s="6">
        <f t="shared" si="5"/>
        <v>36.25</v>
      </c>
      <c r="K19" s="6">
        <f t="shared" si="5"/>
        <v>36.25</v>
      </c>
      <c r="L19" s="6">
        <f t="shared" si="5"/>
        <v>36.25</v>
      </c>
      <c r="M19" s="6">
        <f t="shared" si="5"/>
        <v>36.25</v>
      </c>
      <c r="N19" s="6">
        <f t="shared" si="5"/>
        <v>36.25</v>
      </c>
      <c r="O19" s="6">
        <f t="shared" si="5"/>
        <v>36.25</v>
      </c>
      <c r="P19" s="6">
        <f t="shared" si="5"/>
        <v>36.25</v>
      </c>
      <c r="Q19" s="6">
        <f t="shared" si="5"/>
        <v>36.25</v>
      </c>
      <c r="R19" s="6">
        <f t="shared" si="5"/>
        <v>36.25</v>
      </c>
      <c r="S19" s="6">
        <f t="shared" si="5"/>
        <v>36.25</v>
      </c>
      <c r="T19" s="6">
        <f t="shared" si="5"/>
        <v>36.25</v>
      </c>
      <c r="U19" s="6">
        <f t="shared" si="5"/>
        <v>36.25</v>
      </c>
      <c r="V19" s="6">
        <f t="shared" si="5"/>
        <v>36.25</v>
      </c>
      <c r="W19" s="6">
        <f t="shared" si="5"/>
        <v>0</v>
      </c>
      <c r="X19" s="6">
        <f t="shared" si="5"/>
        <v>0</v>
      </c>
    </row>
    <row r="20" spans="2:24" x14ac:dyDescent="0.25">
      <c r="B20" s="1" t="s">
        <v>4</v>
      </c>
      <c r="C20" s="5">
        <f t="shared" ref="C20:X20" si="6">C18-C19</f>
        <v>108.75</v>
      </c>
      <c r="D20" s="5">
        <f t="shared" si="6"/>
        <v>108.75</v>
      </c>
      <c r="E20" s="5">
        <f t="shared" si="6"/>
        <v>108.75</v>
      </c>
      <c r="F20" s="5">
        <f t="shared" si="6"/>
        <v>108.75</v>
      </c>
      <c r="G20" s="5">
        <f t="shared" si="6"/>
        <v>108.75</v>
      </c>
      <c r="H20" s="5">
        <f t="shared" si="6"/>
        <v>108.75</v>
      </c>
      <c r="I20" s="5">
        <f t="shared" si="6"/>
        <v>108.75</v>
      </c>
      <c r="J20" s="5">
        <f t="shared" si="6"/>
        <v>108.75</v>
      </c>
      <c r="K20" s="5">
        <f t="shared" si="6"/>
        <v>108.75</v>
      </c>
      <c r="L20" s="5">
        <f t="shared" si="6"/>
        <v>108.75</v>
      </c>
      <c r="M20" s="5">
        <f t="shared" si="6"/>
        <v>108.75</v>
      </c>
      <c r="N20" s="5">
        <f t="shared" si="6"/>
        <v>108.75</v>
      </c>
      <c r="O20" s="5">
        <f t="shared" si="6"/>
        <v>108.75</v>
      </c>
      <c r="P20" s="5">
        <f t="shared" si="6"/>
        <v>108.75</v>
      </c>
      <c r="Q20" s="5">
        <f t="shared" si="6"/>
        <v>108.75</v>
      </c>
      <c r="R20" s="5">
        <f t="shared" si="6"/>
        <v>108.75</v>
      </c>
      <c r="S20" s="5">
        <f t="shared" si="6"/>
        <v>108.75</v>
      </c>
      <c r="T20" s="5">
        <f t="shared" si="6"/>
        <v>108.75</v>
      </c>
      <c r="U20" s="5">
        <f t="shared" si="6"/>
        <v>108.75</v>
      </c>
      <c r="V20" s="5">
        <f t="shared" si="6"/>
        <v>108.75</v>
      </c>
      <c r="W20" s="5">
        <f t="shared" si="6"/>
        <v>0</v>
      </c>
      <c r="X20" s="5">
        <f t="shared" si="6"/>
        <v>0</v>
      </c>
    </row>
    <row r="21" spans="2:24" x14ac:dyDescent="0.25">
      <c r="B21" s="2" t="s">
        <v>136</v>
      </c>
      <c r="C21" s="6">
        <f>C15</f>
        <v>600</v>
      </c>
      <c r="D21" s="6">
        <f>D15</f>
        <v>600</v>
      </c>
      <c r="E21" s="6">
        <f>E15</f>
        <v>600</v>
      </c>
      <c r="F21" s="6">
        <f>F15</f>
        <v>600</v>
      </c>
      <c r="G21" s="6">
        <f>G15</f>
        <v>600</v>
      </c>
      <c r="H21" s="6">
        <f t="shared" ref="H21:X21" si="7">H15</f>
        <v>600</v>
      </c>
      <c r="I21" s="6">
        <f t="shared" si="7"/>
        <v>600</v>
      </c>
      <c r="J21" s="6">
        <f t="shared" si="7"/>
        <v>600</v>
      </c>
      <c r="K21" s="6">
        <f t="shared" si="7"/>
        <v>600</v>
      </c>
      <c r="L21" s="6">
        <f t="shared" si="7"/>
        <v>600</v>
      </c>
      <c r="M21" s="6">
        <f t="shared" si="7"/>
        <v>600</v>
      </c>
      <c r="N21" s="6">
        <f t="shared" si="7"/>
        <v>600</v>
      </c>
      <c r="O21" s="6">
        <f t="shared" si="7"/>
        <v>600</v>
      </c>
      <c r="P21" s="6">
        <f t="shared" si="7"/>
        <v>600</v>
      </c>
      <c r="Q21" s="6">
        <f t="shared" si="7"/>
        <v>600</v>
      </c>
      <c r="R21" s="6">
        <f t="shared" si="7"/>
        <v>600</v>
      </c>
      <c r="S21" s="6">
        <f t="shared" si="7"/>
        <v>600</v>
      </c>
      <c r="T21" s="6">
        <f t="shared" si="7"/>
        <v>600</v>
      </c>
      <c r="U21" s="6">
        <f t="shared" si="7"/>
        <v>600</v>
      </c>
      <c r="V21" s="6">
        <f t="shared" si="7"/>
        <v>600</v>
      </c>
      <c r="W21" s="6">
        <f t="shared" si="7"/>
        <v>0</v>
      </c>
      <c r="X21" s="6">
        <f t="shared" si="7"/>
        <v>0</v>
      </c>
    </row>
    <row r="22" spans="2:24" x14ac:dyDescent="0.25">
      <c r="B22" s="2" t="s">
        <v>45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/>
      <c r="S22" s="6"/>
      <c r="T22" s="6"/>
      <c r="U22" s="6"/>
      <c r="V22" s="6"/>
      <c r="W22" s="6"/>
      <c r="X22" s="6"/>
    </row>
    <row r="23" spans="2:24" x14ac:dyDescent="0.25">
      <c r="B23" s="39" t="s">
        <v>339</v>
      </c>
      <c r="C23" s="6">
        <v>1500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/>
      <c r="S23" s="12"/>
      <c r="T23" s="12"/>
      <c r="U23" s="12"/>
      <c r="V23" s="12"/>
      <c r="W23" s="12"/>
      <c r="X23" s="12"/>
    </row>
    <row r="24" spans="2:24" x14ac:dyDescent="0.25">
      <c r="B24" s="68" t="s">
        <v>33</v>
      </c>
      <c r="C24" s="6">
        <f>C29*0.5</f>
        <v>6000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/>
      <c r="S24" s="12"/>
      <c r="T24" s="12"/>
      <c r="U24" s="12"/>
      <c r="V24" s="12"/>
      <c r="W24" s="12"/>
      <c r="X24" s="12"/>
    </row>
    <row r="25" spans="2:24" x14ac:dyDescent="0.25">
      <c r="B25" s="1" t="s">
        <v>5</v>
      </c>
      <c r="C25" s="5">
        <f t="shared" ref="C25:H25" si="8">C20+SUM(C21:C24)</f>
        <v>8208.75</v>
      </c>
      <c r="D25" s="5">
        <f t="shared" si="8"/>
        <v>708.75</v>
      </c>
      <c r="E25" s="5">
        <f t="shared" si="8"/>
        <v>708.75</v>
      </c>
      <c r="F25" s="5">
        <f t="shared" si="8"/>
        <v>708.75</v>
      </c>
      <c r="G25" s="5">
        <f t="shared" si="8"/>
        <v>708.75</v>
      </c>
      <c r="H25" s="5">
        <f t="shared" si="8"/>
        <v>708.75</v>
      </c>
      <c r="I25" s="5">
        <f t="shared" ref="I25:X25" si="9">I20+SUM(I21:I24)</f>
        <v>708.75</v>
      </c>
      <c r="J25" s="5">
        <f t="shared" si="9"/>
        <v>708.75</v>
      </c>
      <c r="K25" s="5">
        <f t="shared" si="9"/>
        <v>708.75</v>
      </c>
      <c r="L25" s="5">
        <f t="shared" si="9"/>
        <v>708.75</v>
      </c>
      <c r="M25" s="5">
        <f t="shared" si="9"/>
        <v>708.75</v>
      </c>
      <c r="N25" s="5">
        <f t="shared" si="9"/>
        <v>708.75</v>
      </c>
      <c r="O25" s="5">
        <f t="shared" si="9"/>
        <v>708.75</v>
      </c>
      <c r="P25" s="5">
        <f t="shared" si="9"/>
        <v>708.75</v>
      </c>
      <c r="Q25" s="5">
        <f t="shared" si="9"/>
        <v>708.75</v>
      </c>
      <c r="R25" s="5">
        <f t="shared" si="9"/>
        <v>708.75</v>
      </c>
      <c r="S25" s="5">
        <f t="shared" si="9"/>
        <v>708.75</v>
      </c>
      <c r="T25" s="5">
        <f t="shared" si="9"/>
        <v>708.75</v>
      </c>
      <c r="U25" s="5">
        <f t="shared" si="9"/>
        <v>708.75</v>
      </c>
      <c r="V25" s="5">
        <f t="shared" si="9"/>
        <v>708.75</v>
      </c>
      <c r="W25" s="5">
        <f t="shared" si="9"/>
        <v>0</v>
      </c>
      <c r="X25" s="5">
        <f t="shared" si="9"/>
        <v>0</v>
      </c>
    </row>
    <row r="26" spans="2:24" x14ac:dyDescent="0.25"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s="113" customFormat="1" x14ac:dyDescent="0.25">
      <c r="B27" s="114" t="s">
        <v>27</v>
      </c>
      <c r="C27" s="114"/>
      <c r="D27" s="114" t="s">
        <v>44</v>
      </c>
      <c r="E27" s="90" t="s">
        <v>0</v>
      </c>
      <c r="F27" s="90" t="s">
        <v>226</v>
      </c>
      <c r="G27" s="90" t="s">
        <v>227</v>
      </c>
      <c r="H27" s="90" t="s">
        <v>228</v>
      </c>
      <c r="I27" s="90" t="s">
        <v>229</v>
      </c>
      <c r="J27" s="90" t="s">
        <v>230</v>
      </c>
      <c r="K27" s="90" t="s">
        <v>231</v>
      </c>
      <c r="L27" s="90" t="s">
        <v>232</v>
      </c>
      <c r="M27" s="90" t="s">
        <v>233</v>
      </c>
      <c r="N27" s="90" t="s">
        <v>234</v>
      </c>
      <c r="O27" s="90" t="s">
        <v>235</v>
      </c>
      <c r="P27" s="90" t="s">
        <v>236</v>
      </c>
      <c r="Q27" s="90" t="s">
        <v>237</v>
      </c>
      <c r="R27" s="90" t="s">
        <v>238</v>
      </c>
      <c r="S27" s="90" t="s">
        <v>239</v>
      </c>
      <c r="T27" s="90" t="s">
        <v>240</v>
      </c>
      <c r="U27" s="90" t="s">
        <v>241</v>
      </c>
      <c r="V27" s="90" t="s">
        <v>242</v>
      </c>
      <c r="W27" s="90" t="s">
        <v>243</v>
      </c>
      <c r="X27" s="90" t="s">
        <v>244</v>
      </c>
    </row>
    <row r="28" spans="2:24" x14ac:dyDescent="0.25">
      <c r="B28" s="7" t="s">
        <v>7</v>
      </c>
      <c r="C28" s="8">
        <f>SUM(C25:X25)</f>
        <v>21675</v>
      </c>
      <c r="D28" s="6" t="s">
        <v>29</v>
      </c>
      <c r="E28" s="10">
        <f>C25-C29</f>
        <v>-3791.25</v>
      </c>
      <c r="F28" s="10">
        <f>E28+D25</f>
        <v>-3082.5</v>
      </c>
      <c r="G28" s="10">
        <f t="shared" ref="G28:X28" si="10">F28+E25</f>
        <v>-2373.75</v>
      </c>
      <c r="H28" s="10">
        <f t="shared" si="10"/>
        <v>-1665</v>
      </c>
      <c r="I28" s="10">
        <f t="shared" si="10"/>
        <v>-956.25</v>
      </c>
      <c r="J28" s="10">
        <f t="shared" si="10"/>
        <v>-247.5</v>
      </c>
      <c r="K28" s="10">
        <f t="shared" si="10"/>
        <v>461.25</v>
      </c>
      <c r="L28" s="10">
        <f t="shared" si="10"/>
        <v>1170</v>
      </c>
      <c r="M28" s="10">
        <f t="shared" si="10"/>
        <v>1878.75</v>
      </c>
      <c r="N28" s="10">
        <f t="shared" si="10"/>
        <v>2587.5</v>
      </c>
      <c r="O28" s="10">
        <f t="shared" si="10"/>
        <v>3296.25</v>
      </c>
      <c r="P28" s="10">
        <f t="shared" si="10"/>
        <v>4005</v>
      </c>
      <c r="Q28" s="10">
        <f t="shared" si="10"/>
        <v>4713.75</v>
      </c>
      <c r="R28" s="10">
        <f t="shared" si="10"/>
        <v>5422.5</v>
      </c>
      <c r="S28" s="10">
        <f t="shared" si="10"/>
        <v>6131.25</v>
      </c>
      <c r="T28" s="10">
        <f t="shared" si="10"/>
        <v>6840</v>
      </c>
      <c r="U28" s="10">
        <f t="shared" si="10"/>
        <v>7548.75</v>
      </c>
      <c r="V28" s="10">
        <f t="shared" si="10"/>
        <v>8257.5</v>
      </c>
      <c r="W28" s="10">
        <f t="shared" si="10"/>
        <v>8966.25</v>
      </c>
      <c r="X28" s="10">
        <f t="shared" si="10"/>
        <v>9675</v>
      </c>
    </row>
    <row r="29" spans="2:24" ht="30" x14ac:dyDescent="0.25">
      <c r="B29" s="60" t="s">
        <v>143</v>
      </c>
      <c r="C29" s="8">
        <v>12000</v>
      </c>
      <c r="D29" s="5"/>
      <c r="G29" t="s">
        <v>176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x14ac:dyDescent="0.25">
      <c r="B30" s="7" t="s">
        <v>18</v>
      </c>
      <c r="C30" s="8"/>
      <c r="D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2:24" x14ac:dyDescent="0.25">
      <c r="B31" s="7" t="s">
        <v>8</v>
      </c>
      <c r="C31" s="8">
        <f>C28-C29</f>
        <v>9675</v>
      </c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2:24" x14ac:dyDescent="0.25">
      <c r="B32" s="29" t="s">
        <v>10</v>
      </c>
      <c r="C32" s="15">
        <f>C31/C29*100%</f>
        <v>0.80625000000000002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2:27" x14ac:dyDescent="0.25">
      <c r="B33" s="6"/>
      <c r="C33" s="5"/>
      <c r="D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7" x14ac:dyDescent="0.25">
      <c r="B34" t="s">
        <v>31</v>
      </c>
      <c r="C34" s="4">
        <v>0.05</v>
      </c>
      <c r="D34" s="6"/>
      <c r="E34" s="6"/>
    </row>
    <row r="35" spans="2:27" x14ac:dyDescent="0.25">
      <c r="B35" s="1" t="s">
        <v>6</v>
      </c>
      <c r="C35" s="5">
        <f>C25/(1+$C34)</f>
        <v>7817.8571428571422</v>
      </c>
      <c r="D35" s="5">
        <f>D25/(1+$C34)^2</f>
        <v>642.85714285714289</v>
      </c>
      <c r="E35" s="5">
        <f>E25/(1+$C34)^3</f>
        <v>612.24489795918362</v>
      </c>
      <c r="F35" s="5">
        <f>F25/(1+$C34)^4</f>
        <v>583.09037900874637</v>
      </c>
      <c r="G35" s="5">
        <f>G25/(1+$C34)^5</f>
        <v>555.32417048452032</v>
      </c>
      <c r="H35" s="5">
        <f>H25/(1+$C34)^6</f>
        <v>528.8801623662099</v>
      </c>
      <c r="I35" s="5">
        <f>I25/(1+$C34)^7</f>
        <v>503.69539272972355</v>
      </c>
      <c r="J35" s="5">
        <f>J25/(1+$C34)^8</f>
        <v>479.70989783783205</v>
      </c>
      <c r="K35" s="5">
        <f>K25/(1+$C34)^9</f>
        <v>456.86656936936384</v>
      </c>
      <c r="L35" s="5">
        <f>L25/(1+$C34)^10</f>
        <v>435.11101844701318</v>
      </c>
      <c r="M35" s="5">
        <f>M25/(1+$C34)^11</f>
        <v>414.39144614001253</v>
      </c>
      <c r="N35" s="5">
        <f>N25/(1+$C34)^12</f>
        <v>394.65852013334529</v>
      </c>
      <c r="O35" s="5">
        <f>O25/(1+$C34)^13</f>
        <v>375.86525726985258</v>
      </c>
      <c r="P35" s="5">
        <f>P25/(1+$C34)^14</f>
        <v>357.96691168557396</v>
      </c>
      <c r="Q35" s="5">
        <f>Q25/(1+$C34)^15</f>
        <v>340.92086827197511</v>
      </c>
      <c r="R35" s="5">
        <f>R25/(1+$C34)^16</f>
        <v>324.68654121140491</v>
      </c>
      <c r="S35" s="5">
        <f>S25/(1+$C34)^17</f>
        <v>309.22527734419509</v>
      </c>
      <c r="T35" s="5">
        <f>T25/(1+$C34)^18</f>
        <v>294.50026413732866</v>
      </c>
      <c r="U35" s="5">
        <f>U25/(1+$C34)^19</f>
        <v>280.47644203555114</v>
      </c>
      <c r="V35" s="5">
        <f>V25/(1+$C34)^20</f>
        <v>267.1204209862392</v>
      </c>
      <c r="W35" s="5">
        <f>W25/(1+$C34)^21</f>
        <v>0</v>
      </c>
      <c r="X35" s="5">
        <f>X25/(1+$C34)^22</f>
        <v>0</v>
      </c>
    </row>
    <row r="36" spans="2:27" x14ac:dyDescent="0.25">
      <c r="B36" s="1"/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7" x14ac:dyDescent="0.25">
      <c r="B37" s="22" t="s">
        <v>28</v>
      </c>
      <c r="C37" s="23"/>
      <c r="D37" s="27" t="s">
        <v>44</v>
      </c>
      <c r="E37" s="91" t="s">
        <v>0</v>
      </c>
      <c r="F37" s="91" t="s">
        <v>226</v>
      </c>
      <c r="G37" s="91" t="s">
        <v>227</v>
      </c>
      <c r="H37" s="91" t="s">
        <v>228</v>
      </c>
      <c r="I37" s="91" t="s">
        <v>229</v>
      </c>
      <c r="J37" s="91" t="s">
        <v>230</v>
      </c>
      <c r="K37" s="91" t="s">
        <v>231</v>
      </c>
      <c r="L37" s="91" t="s">
        <v>232</v>
      </c>
      <c r="M37" s="91" t="s">
        <v>233</v>
      </c>
      <c r="N37" s="91" t="s">
        <v>234</v>
      </c>
      <c r="O37" s="91" t="s">
        <v>235</v>
      </c>
      <c r="P37" s="91" t="s">
        <v>236</v>
      </c>
      <c r="Q37" s="91" t="s">
        <v>237</v>
      </c>
      <c r="R37" s="91" t="s">
        <v>238</v>
      </c>
      <c r="S37" s="91" t="s">
        <v>239</v>
      </c>
      <c r="T37" s="91" t="s">
        <v>240</v>
      </c>
      <c r="U37" s="91" t="s">
        <v>241</v>
      </c>
      <c r="V37" s="91" t="s">
        <v>242</v>
      </c>
      <c r="W37" s="91" t="s">
        <v>243</v>
      </c>
      <c r="X37" s="91" t="s">
        <v>244</v>
      </c>
    </row>
    <row r="38" spans="2:27" x14ac:dyDescent="0.25">
      <c r="B38" s="7" t="s">
        <v>15</v>
      </c>
      <c r="C38" s="8">
        <f>SUM(C35:X35)</f>
        <v>15975.448723132358</v>
      </c>
      <c r="D38" s="6" t="s">
        <v>30</v>
      </c>
      <c r="E38" s="10">
        <f>C35-C39</f>
        <v>-4182.1428571428578</v>
      </c>
      <c r="F38" s="10">
        <f>E38+D35</f>
        <v>-3539.2857142857147</v>
      </c>
      <c r="G38" s="10">
        <f t="shared" ref="G38:X38" si="11">F38+E35</f>
        <v>-2927.0408163265311</v>
      </c>
      <c r="H38" s="10">
        <f t="shared" si="11"/>
        <v>-2343.9504373177847</v>
      </c>
      <c r="I38" s="10">
        <f t="shared" si="11"/>
        <v>-1788.6262668332643</v>
      </c>
      <c r="J38" s="10">
        <f t="shared" si="11"/>
        <v>-1259.7461044670545</v>
      </c>
      <c r="K38" s="10">
        <f t="shared" si="11"/>
        <v>-756.05071173733086</v>
      </c>
      <c r="L38" s="10">
        <f t="shared" si="11"/>
        <v>-276.34081389949881</v>
      </c>
      <c r="M38" s="10">
        <f t="shared" si="11"/>
        <v>180.52575546986503</v>
      </c>
      <c r="N38" s="10">
        <f t="shared" si="11"/>
        <v>615.63677391687816</v>
      </c>
      <c r="O38" s="10">
        <f t="shared" si="11"/>
        <v>1030.0282200568906</v>
      </c>
      <c r="P38" s="10">
        <f t="shared" si="11"/>
        <v>1424.6867401902359</v>
      </c>
      <c r="Q38" s="10">
        <f t="shared" si="11"/>
        <v>1800.5519974600884</v>
      </c>
      <c r="R38" s="10">
        <f t="shared" si="11"/>
        <v>2158.5189091456623</v>
      </c>
      <c r="S38" s="10">
        <f t="shared" si="11"/>
        <v>2499.4397774176373</v>
      </c>
      <c r="T38" s="10">
        <f t="shared" si="11"/>
        <v>2824.1263186290421</v>
      </c>
      <c r="U38" s="10">
        <f t="shared" si="11"/>
        <v>3133.3515959732372</v>
      </c>
      <c r="V38" s="10">
        <f t="shared" si="11"/>
        <v>3427.8518601105657</v>
      </c>
      <c r="W38" s="10">
        <f t="shared" si="11"/>
        <v>3708.3283021461166</v>
      </c>
      <c r="X38" s="10">
        <f t="shared" si="11"/>
        <v>3975.4487231323556</v>
      </c>
    </row>
    <row r="39" spans="2:27" x14ac:dyDescent="0.25">
      <c r="B39" s="7" t="s">
        <v>17</v>
      </c>
      <c r="C39" s="8">
        <f>C29</f>
        <v>12000</v>
      </c>
      <c r="D39" s="6"/>
      <c r="G39" t="s">
        <v>178</v>
      </c>
    </row>
    <row r="40" spans="2:27" x14ac:dyDescent="0.25">
      <c r="B40" s="7" t="s">
        <v>18</v>
      </c>
      <c r="C40" s="8"/>
      <c r="D40" s="6"/>
    </row>
    <row r="41" spans="2:27" x14ac:dyDescent="0.25">
      <c r="B41" s="7" t="s">
        <v>14</v>
      </c>
      <c r="C41" s="8">
        <f>C38-C39</f>
        <v>3975.4487231323583</v>
      </c>
      <c r="D41" s="6"/>
    </row>
    <row r="42" spans="2:27" x14ac:dyDescent="0.25">
      <c r="B42" s="29" t="s">
        <v>9</v>
      </c>
      <c r="C42" s="15">
        <f>(C41/C39)*100%</f>
        <v>0.33128739359436321</v>
      </c>
      <c r="D42" s="5" t="s">
        <v>184</v>
      </c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.75" thickBot="1" x14ac:dyDescent="0.3">
      <c r="E43" s="10"/>
    </row>
    <row r="44" spans="2:27" x14ac:dyDescent="0.25">
      <c r="B44" s="83" t="s">
        <v>155</v>
      </c>
      <c r="C44" s="88"/>
    </row>
    <row r="45" spans="2:27" x14ac:dyDescent="0.25">
      <c r="B45" s="42" t="s">
        <v>151</v>
      </c>
      <c r="C45" s="43" t="s">
        <v>268</v>
      </c>
    </row>
    <row r="46" spans="2:27" x14ac:dyDescent="0.25">
      <c r="B46" s="42" t="s">
        <v>152</v>
      </c>
      <c r="C46" s="43" t="s">
        <v>157</v>
      </c>
    </row>
    <row r="47" spans="2:27" x14ac:dyDescent="0.25">
      <c r="B47" s="42"/>
      <c r="C47" s="45"/>
    </row>
    <row r="48" spans="2:27" x14ac:dyDescent="0.25">
      <c r="B48" s="84" t="s">
        <v>156</v>
      </c>
      <c r="C48" s="108"/>
    </row>
    <row r="49" spans="2:3" x14ac:dyDescent="0.25">
      <c r="B49" s="42" t="s">
        <v>153</v>
      </c>
      <c r="C49" s="43" t="s">
        <v>219</v>
      </c>
    </row>
    <row r="50" spans="2:3" ht="15.75" thickBot="1" x14ac:dyDescent="0.3">
      <c r="B50" s="46" t="s">
        <v>154</v>
      </c>
      <c r="C50" s="47" t="s">
        <v>216</v>
      </c>
    </row>
  </sheetData>
  <phoneticPr fontId="6" type="noConversion"/>
  <pageMargins left="0.7" right="0.7" top="0.75" bottom="0.75" header="0.3" footer="0.3"/>
  <ignoredErrors>
    <ignoredError sqref="C19:X19" formula="1"/>
  </ignoredErrors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27"/>
  <sheetViews>
    <sheetView zoomScaleNormal="100" workbookViewId="0">
      <selection activeCell="C8" sqref="C8"/>
    </sheetView>
  </sheetViews>
  <sheetFormatPr defaultRowHeight="15" x14ac:dyDescent="0.25"/>
  <cols>
    <col min="1" max="1" width="98.7109375" customWidth="1"/>
    <col min="2" max="2" width="14.7109375" customWidth="1"/>
    <col min="3" max="3" width="20.7109375" customWidth="1"/>
    <col min="4" max="4" width="24.85546875" customWidth="1"/>
    <col min="5" max="5" width="76.7109375" customWidth="1"/>
    <col min="6" max="6" width="89.7109375" customWidth="1"/>
  </cols>
  <sheetData>
    <row r="1" spans="1:6" x14ac:dyDescent="0.25">
      <c r="A1" s="75" t="s">
        <v>289</v>
      </c>
      <c r="E1" t="s">
        <v>13</v>
      </c>
    </row>
    <row r="2" spans="1:6" x14ac:dyDescent="0.25">
      <c r="A2" s="74" t="s">
        <v>331</v>
      </c>
    </row>
    <row r="3" spans="1:6" x14ac:dyDescent="0.25">
      <c r="A3" s="41"/>
    </row>
    <row r="4" spans="1:6" ht="30" x14ac:dyDescent="0.25">
      <c r="A4" t="s">
        <v>140</v>
      </c>
      <c r="B4" s="24" t="s">
        <v>11</v>
      </c>
      <c r="C4" s="105" t="s">
        <v>288</v>
      </c>
      <c r="D4" s="105" t="s">
        <v>12</v>
      </c>
    </row>
    <row r="5" spans="1:6" x14ac:dyDescent="0.25">
      <c r="B5" s="13"/>
    </row>
    <row r="6" spans="1:6" x14ac:dyDescent="0.25">
      <c r="A6" t="s">
        <v>86</v>
      </c>
      <c r="B6" s="97">
        <f>'BC-Brandstofcel'!C42</f>
        <v>0.33128739359436321</v>
      </c>
      <c r="C6" s="86"/>
      <c r="D6" s="86"/>
      <c r="E6" t="s">
        <v>81</v>
      </c>
    </row>
    <row r="7" spans="1:6" x14ac:dyDescent="0.25">
      <c r="B7" s="97"/>
      <c r="C7" s="86"/>
      <c r="D7" s="86"/>
    </row>
    <row r="8" spans="1:6" ht="30" x14ac:dyDescent="0.25">
      <c r="A8" s="40" t="s">
        <v>127</v>
      </c>
      <c r="B8" s="86"/>
      <c r="C8" s="86">
        <f>'BC-Brandstofcel'!B3*0.6</f>
        <v>2700</v>
      </c>
      <c r="D8" s="86"/>
      <c r="E8" s="103" t="s">
        <v>125</v>
      </c>
    </row>
    <row r="9" spans="1:6" ht="30" x14ac:dyDescent="0.25">
      <c r="A9" t="s">
        <v>88</v>
      </c>
      <c r="B9" s="86"/>
      <c r="C9" s="86">
        <f>'BC-Brandstofcel'!B4*1.9</f>
        <v>-1254</v>
      </c>
      <c r="D9" s="86"/>
      <c r="E9" s="55" t="s">
        <v>124</v>
      </c>
    </row>
    <row r="10" spans="1:6" x14ac:dyDescent="0.25">
      <c r="A10" t="s">
        <v>89</v>
      </c>
      <c r="B10" s="86"/>
      <c r="C10" s="86">
        <f>C8+C9</f>
        <v>1446</v>
      </c>
      <c r="D10" s="86"/>
      <c r="E10" s="55" t="s">
        <v>126</v>
      </c>
    </row>
    <row r="11" spans="1:6" x14ac:dyDescent="0.25">
      <c r="B11" s="86"/>
      <c r="C11" s="86"/>
      <c r="D11" s="86"/>
      <c r="E11" s="55"/>
    </row>
    <row r="12" spans="1:6" ht="30" x14ac:dyDescent="0.25">
      <c r="A12" t="s">
        <v>90</v>
      </c>
      <c r="B12" s="86"/>
      <c r="C12" s="86"/>
      <c r="D12" s="86" t="s">
        <v>113</v>
      </c>
      <c r="E12" s="104" t="s">
        <v>130</v>
      </c>
      <c r="F12" s="11" t="s">
        <v>159</v>
      </c>
    </row>
    <row r="13" spans="1:6" x14ac:dyDescent="0.25">
      <c r="A13" s="40"/>
      <c r="B13" s="86"/>
      <c r="C13" s="86"/>
      <c r="D13" s="86"/>
      <c r="E13" s="40" t="s">
        <v>169</v>
      </c>
      <c r="F13" s="125" t="s">
        <v>109</v>
      </c>
    </row>
    <row r="14" spans="1:6" x14ac:dyDescent="0.25">
      <c r="B14" s="86"/>
      <c r="C14" s="98"/>
      <c r="D14" s="86"/>
      <c r="E14" s="38"/>
      <c r="F14" s="146" t="s">
        <v>108</v>
      </c>
    </row>
    <row r="15" spans="1:6" x14ac:dyDescent="0.25">
      <c r="A15" s="40" t="s">
        <v>186</v>
      </c>
      <c r="B15" s="86">
        <v>3</v>
      </c>
      <c r="C15" s="86">
        <v>3</v>
      </c>
      <c r="D15" s="86">
        <v>3</v>
      </c>
      <c r="E15" s="40" t="s">
        <v>132</v>
      </c>
      <c r="F15" s="146" t="s">
        <v>94</v>
      </c>
    </row>
    <row r="16" spans="1:6" x14ac:dyDescent="0.25">
      <c r="B16" s="86"/>
      <c r="C16" s="26"/>
      <c r="D16" s="86"/>
      <c r="E16" s="40" t="s">
        <v>82</v>
      </c>
      <c r="F16" s="146" t="s">
        <v>318</v>
      </c>
    </row>
    <row r="17" spans="1:6" x14ac:dyDescent="0.25">
      <c r="B17" s="86"/>
      <c r="C17" s="26"/>
      <c r="D17" s="86"/>
      <c r="F17" s="146" t="s">
        <v>95</v>
      </c>
    </row>
    <row r="18" spans="1:6" x14ac:dyDescent="0.25">
      <c r="A18" t="s">
        <v>131</v>
      </c>
      <c r="B18" s="99">
        <v>0.6</v>
      </c>
      <c r="C18" s="99">
        <v>0.1</v>
      </c>
      <c r="D18" s="99">
        <v>0.3</v>
      </c>
      <c r="E18" s="2" t="s">
        <v>84</v>
      </c>
      <c r="F18" s="125" t="s">
        <v>74</v>
      </c>
    </row>
    <row r="19" spans="1:6" ht="18.75" x14ac:dyDescent="0.3">
      <c r="B19" s="99"/>
      <c r="C19" s="99"/>
      <c r="D19" s="99"/>
      <c r="E19" s="14"/>
      <c r="F19" s="146" t="s">
        <v>96</v>
      </c>
    </row>
    <row r="20" spans="1:6" x14ac:dyDescent="0.25">
      <c r="A20" s="110" t="s">
        <v>128</v>
      </c>
      <c r="B20" s="115">
        <f>B15*B18+C15*C18+D15*D18</f>
        <v>2.9999999999999996</v>
      </c>
      <c r="C20" s="86"/>
      <c r="D20" s="86"/>
      <c r="E20" s="40" t="s">
        <v>129</v>
      </c>
      <c r="F20" s="146" t="s">
        <v>97</v>
      </c>
    </row>
    <row r="21" spans="1:6" x14ac:dyDescent="0.25">
      <c r="F21" s="125" t="s">
        <v>99</v>
      </c>
    </row>
    <row r="22" spans="1:6" x14ac:dyDescent="0.25">
      <c r="F22" s="116" t="s">
        <v>310</v>
      </c>
    </row>
    <row r="23" spans="1:6" x14ac:dyDescent="0.25">
      <c r="F23" s="125" t="s">
        <v>100</v>
      </c>
    </row>
    <row r="24" spans="1:6" x14ac:dyDescent="0.25">
      <c r="F24" s="125" t="s">
        <v>101</v>
      </c>
    </row>
    <row r="25" spans="1:6" x14ac:dyDescent="0.25">
      <c r="F25" s="125" t="s">
        <v>293</v>
      </c>
    </row>
    <row r="26" spans="1:6" x14ac:dyDescent="0.25">
      <c r="F26" s="125" t="s">
        <v>319</v>
      </c>
    </row>
    <row r="27" spans="1:6" x14ac:dyDescent="0.25">
      <c r="F27" s="125" t="s">
        <v>102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0"/>
  <sheetViews>
    <sheetView workbookViewId="0">
      <selection activeCell="B46" sqref="B46"/>
    </sheetView>
  </sheetViews>
  <sheetFormatPr defaultRowHeight="15" x14ac:dyDescent="0.25"/>
  <cols>
    <col min="1" max="1" width="17.28515625" bestFit="1" customWidth="1"/>
    <col min="2" max="2" width="85.7109375" customWidth="1"/>
    <col min="3" max="3" width="12.7109375" customWidth="1"/>
    <col min="4" max="4" width="17.7109375" customWidth="1"/>
    <col min="5" max="35" width="12.7109375" customWidth="1"/>
  </cols>
  <sheetData>
    <row r="1" spans="1:35" x14ac:dyDescent="0.25">
      <c r="B1" s="74" t="s">
        <v>118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  <c r="O1" s="89" t="s">
        <v>237</v>
      </c>
      <c r="P1" s="89" t="s">
        <v>238</v>
      </c>
      <c r="Q1" s="89" t="s">
        <v>239</v>
      </c>
      <c r="R1" s="89" t="s">
        <v>240</v>
      </c>
      <c r="S1" s="89" t="s">
        <v>241</v>
      </c>
      <c r="T1" s="89" t="s">
        <v>242</v>
      </c>
      <c r="U1" s="89" t="s">
        <v>243</v>
      </c>
      <c r="V1" s="89" t="s">
        <v>244</v>
      </c>
      <c r="W1" s="89" t="s">
        <v>245</v>
      </c>
      <c r="X1" s="89" t="s">
        <v>246</v>
      </c>
      <c r="Y1" s="89" t="s">
        <v>247</v>
      </c>
      <c r="Z1" s="89" t="s">
        <v>248</v>
      </c>
      <c r="AA1" s="89" t="s">
        <v>249</v>
      </c>
      <c r="AB1" s="89" t="s">
        <v>250</v>
      </c>
      <c r="AC1" s="89" t="s">
        <v>251</v>
      </c>
      <c r="AD1" s="75" t="s">
        <v>252</v>
      </c>
      <c r="AE1" s="75" t="s">
        <v>253</v>
      </c>
      <c r="AF1" s="75" t="s">
        <v>254</v>
      </c>
      <c r="AG1" s="75" t="s">
        <v>255</v>
      </c>
      <c r="AH1" s="75" t="s">
        <v>256</v>
      </c>
      <c r="AI1" s="75" t="s">
        <v>257</v>
      </c>
    </row>
    <row r="2" spans="1:35" x14ac:dyDescent="0.25">
      <c r="B2" t="s">
        <v>224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t="s">
        <v>307</v>
      </c>
      <c r="B3" s="113">
        <v>0</v>
      </c>
      <c r="C3" s="54"/>
      <c r="D3" s="54"/>
      <c r="E3" s="54"/>
      <c r="F3" s="54"/>
      <c r="G3" s="5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</row>
    <row r="4" spans="1:35" x14ac:dyDescent="0.25">
      <c r="A4" t="s">
        <v>308</v>
      </c>
      <c r="B4" s="113">
        <v>324</v>
      </c>
      <c r="C4" s="30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</row>
    <row r="5" spans="1:35" x14ac:dyDescent="0.25">
      <c r="A5" t="s">
        <v>286</v>
      </c>
      <c r="B5" s="134">
        <v>0.25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5"/>
      <c r="AC5" s="5"/>
      <c r="AD5" s="5"/>
      <c r="AE5" s="5"/>
      <c r="AF5" s="5"/>
      <c r="AG5" s="5"/>
      <c r="AH5" s="5"/>
      <c r="AI5" s="5"/>
    </row>
    <row r="6" spans="1:35" x14ac:dyDescent="0.25">
      <c r="A6" t="s">
        <v>287</v>
      </c>
      <c r="B6" s="134">
        <v>0.5</v>
      </c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"/>
      <c r="AC6" s="5"/>
      <c r="AD6" s="5"/>
      <c r="AE6" s="5"/>
      <c r="AF6" s="5"/>
      <c r="AG6" s="5"/>
      <c r="AH6" s="5"/>
      <c r="AI6" s="5"/>
    </row>
    <row r="7" spans="1:35" x14ac:dyDescent="0.25">
      <c r="B7" s="109"/>
      <c r="C7" s="54"/>
      <c r="D7" s="54"/>
      <c r="E7" s="54"/>
      <c r="F7" s="54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</row>
    <row r="8" spans="1:35" x14ac:dyDescent="0.25">
      <c r="B8" s="28" t="s">
        <v>290</v>
      </c>
      <c r="C8" s="5">
        <f>$B6*$B$4</f>
        <v>162</v>
      </c>
      <c r="D8" s="5">
        <f t="shared" ref="D8:AF8" si="0">$B6*$B$4</f>
        <v>162</v>
      </c>
      <c r="E8" s="5">
        <f t="shared" si="0"/>
        <v>162</v>
      </c>
      <c r="F8" s="5">
        <f t="shared" si="0"/>
        <v>162</v>
      </c>
      <c r="G8" s="5">
        <f t="shared" si="0"/>
        <v>162</v>
      </c>
      <c r="H8" s="5">
        <f t="shared" si="0"/>
        <v>162</v>
      </c>
      <c r="I8" s="5">
        <f t="shared" si="0"/>
        <v>162</v>
      </c>
      <c r="J8" s="5">
        <f t="shared" si="0"/>
        <v>162</v>
      </c>
      <c r="K8" s="5">
        <f t="shared" si="0"/>
        <v>162</v>
      </c>
      <c r="L8" s="5">
        <f t="shared" si="0"/>
        <v>162</v>
      </c>
      <c r="M8" s="5">
        <f t="shared" si="0"/>
        <v>162</v>
      </c>
      <c r="N8" s="5">
        <f t="shared" si="0"/>
        <v>162</v>
      </c>
      <c r="O8" s="5">
        <f t="shared" si="0"/>
        <v>162</v>
      </c>
      <c r="P8" s="5">
        <f t="shared" si="0"/>
        <v>162</v>
      </c>
      <c r="Q8" s="5">
        <f t="shared" si="0"/>
        <v>162</v>
      </c>
      <c r="R8" s="5">
        <f t="shared" si="0"/>
        <v>162</v>
      </c>
      <c r="S8" s="5">
        <f t="shared" si="0"/>
        <v>162</v>
      </c>
      <c r="T8" s="5">
        <f t="shared" si="0"/>
        <v>162</v>
      </c>
      <c r="U8" s="5">
        <f t="shared" si="0"/>
        <v>162</v>
      </c>
      <c r="V8" s="5">
        <f t="shared" si="0"/>
        <v>162</v>
      </c>
      <c r="W8" s="5">
        <f t="shared" si="0"/>
        <v>162</v>
      </c>
      <c r="X8" s="5">
        <f t="shared" si="0"/>
        <v>162</v>
      </c>
      <c r="Y8" s="5">
        <f t="shared" si="0"/>
        <v>162</v>
      </c>
      <c r="Z8" s="5">
        <f t="shared" si="0"/>
        <v>162</v>
      </c>
      <c r="AA8" s="5">
        <f t="shared" si="0"/>
        <v>162</v>
      </c>
      <c r="AB8" s="5">
        <f t="shared" si="0"/>
        <v>162</v>
      </c>
      <c r="AC8" s="5">
        <f t="shared" si="0"/>
        <v>162</v>
      </c>
      <c r="AD8" s="5">
        <f t="shared" si="0"/>
        <v>162</v>
      </c>
      <c r="AE8" s="5">
        <f t="shared" si="0"/>
        <v>162</v>
      </c>
      <c r="AF8" s="5">
        <f t="shared" si="0"/>
        <v>162</v>
      </c>
      <c r="AG8" s="5">
        <v>0</v>
      </c>
      <c r="AH8" s="5">
        <v>0</v>
      </c>
      <c r="AI8" s="5">
        <v>0</v>
      </c>
    </row>
    <row r="9" spans="1:35" x14ac:dyDescent="0.25">
      <c r="B9" t="s">
        <v>54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/>
      <c r="S9" s="6"/>
      <c r="T9" s="6"/>
      <c r="U9" s="6"/>
      <c r="V9" s="6"/>
      <c r="W9" s="6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</row>
    <row r="10" spans="1:35" x14ac:dyDescent="0.25">
      <c r="B10" t="s">
        <v>133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</row>
    <row r="11" spans="1:35" x14ac:dyDescent="0.25">
      <c r="B11" t="s">
        <v>135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1:35" x14ac:dyDescent="0.25">
      <c r="B12" t="s">
        <v>134</v>
      </c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</row>
    <row r="13" spans="1:35" x14ac:dyDescent="0.25">
      <c r="B13" t="s">
        <v>21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</row>
    <row r="14" spans="1:35" x14ac:dyDescent="0.25">
      <c r="B14" s="1" t="s">
        <v>1</v>
      </c>
      <c r="C14" s="5">
        <f>C8-SUM(C9:C13)</f>
        <v>162</v>
      </c>
      <c r="D14" s="5">
        <f>D8-SUM(D9:D13)</f>
        <v>162</v>
      </c>
      <c r="E14" s="5">
        <f>E8-SUM(E9:E13)</f>
        <v>162</v>
      </c>
      <c r="F14" s="5">
        <f>F8-SUM(F9:F13)</f>
        <v>162</v>
      </c>
      <c r="G14" s="5">
        <f>G8-SUM(G9:G13)</f>
        <v>162</v>
      </c>
      <c r="H14" s="5">
        <f t="shared" ref="H14:AI14" si="1">H8-SUM(H9:H13)</f>
        <v>162</v>
      </c>
      <c r="I14" s="5">
        <f t="shared" si="1"/>
        <v>162</v>
      </c>
      <c r="J14" s="5">
        <f t="shared" si="1"/>
        <v>162</v>
      </c>
      <c r="K14" s="5">
        <f t="shared" si="1"/>
        <v>162</v>
      </c>
      <c r="L14" s="5">
        <f t="shared" si="1"/>
        <v>162</v>
      </c>
      <c r="M14" s="5">
        <f t="shared" si="1"/>
        <v>162</v>
      </c>
      <c r="N14" s="5">
        <f t="shared" si="1"/>
        <v>162</v>
      </c>
      <c r="O14" s="5">
        <f t="shared" si="1"/>
        <v>162</v>
      </c>
      <c r="P14" s="5">
        <f t="shared" si="1"/>
        <v>162</v>
      </c>
      <c r="Q14" s="5">
        <f t="shared" si="1"/>
        <v>162</v>
      </c>
      <c r="R14" s="5">
        <f t="shared" si="1"/>
        <v>162</v>
      </c>
      <c r="S14" s="5">
        <f t="shared" si="1"/>
        <v>162</v>
      </c>
      <c r="T14" s="5">
        <f t="shared" si="1"/>
        <v>162</v>
      </c>
      <c r="U14" s="5">
        <f t="shared" si="1"/>
        <v>162</v>
      </c>
      <c r="V14" s="5">
        <f t="shared" si="1"/>
        <v>162</v>
      </c>
      <c r="W14" s="5">
        <f t="shared" si="1"/>
        <v>162</v>
      </c>
      <c r="X14" s="5">
        <f t="shared" si="1"/>
        <v>162</v>
      </c>
      <c r="Y14" s="5">
        <f t="shared" si="1"/>
        <v>162</v>
      </c>
      <c r="Z14" s="5">
        <f t="shared" si="1"/>
        <v>162</v>
      </c>
      <c r="AA14" s="5">
        <f t="shared" si="1"/>
        <v>162</v>
      </c>
      <c r="AB14" s="5">
        <f t="shared" si="1"/>
        <v>162</v>
      </c>
      <c r="AC14" s="5">
        <f t="shared" si="1"/>
        <v>162</v>
      </c>
      <c r="AD14" s="5">
        <f t="shared" si="1"/>
        <v>162</v>
      </c>
      <c r="AE14" s="5">
        <f t="shared" si="1"/>
        <v>162</v>
      </c>
      <c r="AF14" s="5">
        <f t="shared" si="1"/>
        <v>162</v>
      </c>
      <c r="AG14" s="5">
        <f t="shared" si="1"/>
        <v>0</v>
      </c>
      <c r="AH14" s="5">
        <f t="shared" si="1"/>
        <v>0</v>
      </c>
      <c r="AI14" s="5">
        <f t="shared" si="1"/>
        <v>0</v>
      </c>
    </row>
    <row r="15" spans="1:35" ht="30" x14ac:dyDescent="0.25">
      <c r="B15" s="55" t="s">
        <v>16</v>
      </c>
      <c r="C15" s="6">
        <f>$C$29/30</f>
        <v>65.25</v>
      </c>
      <c r="D15" s="6">
        <f t="shared" ref="D15:AF15" si="2">$C$29/30</f>
        <v>65.25</v>
      </c>
      <c r="E15" s="6">
        <f t="shared" si="2"/>
        <v>65.25</v>
      </c>
      <c r="F15" s="6">
        <f t="shared" si="2"/>
        <v>65.25</v>
      </c>
      <c r="G15" s="6">
        <f t="shared" si="2"/>
        <v>65.25</v>
      </c>
      <c r="H15" s="6">
        <f t="shared" si="2"/>
        <v>65.25</v>
      </c>
      <c r="I15" s="6">
        <f t="shared" si="2"/>
        <v>65.25</v>
      </c>
      <c r="J15" s="6">
        <f t="shared" si="2"/>
        <v>65.25</v>
      </c>
      <c r="K15" s="6">
        <f t="shared" si="2"/>
        <v>65.25</v>
      </c>
      <c r="L15" s="6">
        <f t="shared" si="2"/>
        <v>65.25</v>
      </c>
      <c r="M15" s="6">
        <f t="shared" si="2"/>
        <v>65.25</v>
      </c>
      <c r="N15" s="6">
        <f t="shared" si="2"/>
        <v>65.25</v>
      </c>
      <c r="O15" s="6">
        <f t="shared" si="2"/>
        <v>65.25</v>
      </c>
      <c r="P15" s="6">
        <f t="shared" si="2"/>
        <v>65.25</v>
      </c>
      <c r="Q15" s="6">
        <f t="shared" si="2"/>
        <v>65.25</v>
      </c>
      <c r="R15" s="6">
        <f t="shared" si="2"/>
        <v>65.25</v>
      </c>
      <c r="S15" s="6">
        <f t="shared" si="2"/>
        <v>65.25</v>
      </c>
      <c r="T15" s="6">
        <f t="shared" si="2"/>
        <v>65.25</v>
      </c>
      <c r="U15" s="6">
        <f t="shared" si="2"/>
        <v>65.25</v>
      </c>
      <c r="V15" s="6">
        <f t="shared" si="2"/>
        <v>65.25</v>
      </c>
      <c r="W15" s="6">
        <f t="shared" si="2"/>
        <v>65.25</v>
      </c>
      <c r="X15" s="6">
        <f t="shared" si="2"/>
        <v>65.25</v>
      </c>
      <c r="Y15" s="6">
        <f t="shared" si="2"/>
        <v>65.25</v>
      </c>
      <c r="Z15" s="6">
        <f t="shared" si="2"/>
        <v>65.25</v>
      </c>
      <c r="AA15" s="6">
        <f t="shared" si="2"/>
        <v>65.25</v>
      </c>
      <c r="AB15" s="6">
        <f t="shared" si="2"/>
        <v>65.25</v>
      </c>
      <c r="AC15" s="6">
        <f t="shared" si="2"/>
        <v>65.25</v>
      </c>
      <c r="AD15" s="6">
        <f t="shared" si="2"/>
        <v>65.25</v>
      </c>
      <c r="AE15" s="6">
        <f t="shared" si="2"/>
        <v>65.25</v>
      </c>
      <c r="AF15" s="6">
        <f t="shared" si="2"/>
        <v>65.25</v>
      </c>
      <c r="AG15" s="6">
        <v>0</v>
      </c>
      <c r="AH15" s="6">
        <v>0</v>
      </c>
      <c r="AI15" s="6">
        <v>0</v>
      </c>
    </row>
    <row r="16" spans="1:35" x14ac:dyDescent="0.25">
      <c r="B16" s="1" t="s">
        <v>2</v>
      </c>
      <c r="C16" s="5">
        <f t="shared" ref="C16:AI16" si="3">C14-C15</f>
        <v>96.75</v>
      </c>
      <c r="D16" s="5">
        <f t="shared" si="3"/>
        <v>96.75</v>
      </c>
      <c r="E16" s="5">
        <f t="shared" si="3"/>
        <v>96.75</v>
      </c>
      <c r="F16" s="5">
        <f t="shared" si="3"/>
        <v>96.75</v>
      </c>
      <c r="G16" s="5">
        <f t="shared" si="3"/>
        <v>96.75</v>
      </c>
      <c r="H16" s="5">
        <f t="shared" si="3"/>
        <v>96.75</v>
      </c>
      <c r="I16" s="5">
        <f t="shared" si="3"/>
        <v>96.75</v>
      </c>
      <c r="J16" s="5">
        <f t="shared" si="3"/>
        <v>96.75</v>
      </c>
      <c r="K16" s="5">
        <f t="shared" si="3"/>
        <v>96.75</v>
      </c>
      <c r="L16" s="5">
        <f t="shared" si="3"/>
        <v>96.75</v>
      </c>
      <c r="M16" s="5">
        <f t="shared" si="3"/>
        <v>96.75</v>
      </c>
      <c r="N16" s="5">
        <f t="shared" si="3"/>
        <v>96.75</v>
      </c>
      <c r="O16" s="5">
        <f t="shared" si="3"/>
        <v>96.75</v>
      </c>
      <c r="P16" s="5">
        <f t="shared" si="3"/>
        <v>96.75</v>
      </c>
      <c r="Q16" s="5">
        <f t="shared" si="3"/>
        <v>96.75</v>
      </c>
      <c r="R16" s="5">
        <f t="shared" si="3"/>
        <v>96.75</v>
      </c>
      <c r="S16" s="5">
        <f t="shared" si="3"/>
        <v>96.75</v>
      </c>
      <c r="T16" s="5">
        <f t="shared" si="3"/>
        <v>96.75</v>
      </c>
      <c r="U16" s="5">
        <f t="shared" si="3"/>
        <v>96.75</v>
      </c>
      <c r="V16" s="5">
        <f t="shared" si="3"/>
        <v>96.75</v>
      </c>
      <c r="W16" s="5">
        <f t="shared" si="3"/>
        <v>96.75</v>
      </c>
      <c r="X16" s="5">
        <f t="shared" si="3"/>
        <v>96.75</v>
      </c>
      <c r="Y16" s="5">
        <f t="shared" si="3"/>
        <v>96.75</v>
      </c>
      <c r="Z16" s="5">
        <f t="shared" si="3"/>
        <v>96.75</v>
      </c>
      <c r="AA16" s="5">
        <f t="shared" si="3"/>
        <v>96.75</v>
      </c>
      <c r="AB16" s="5">
        <f t="shared" si="3"/>
        <v>96.75</v>
      </c>
      <c r="AC16" s="5">
        <f t="shared" si="3"/>
        <v>96.75</v>
      </c>
      <c r="AD16" s="5">
        <f t="shared" si="3"/>
        <v>96.75</v>
      </c>
      <c r="AE16" s="5">
        <f t="shared" si="3"/>
        <v>96.75</v>
      </c>
      <c r="AF16" s="5">
        <f t="shared" si="3"/>
        <v>96.75</v>
      </c>
      <c r="AG16" s="5">
        <f t="shared" si="3"/>
        <v>0</v>
      </c>
      <c r="AH16" s="5">
        <f t="shared" si="3"/>
        <v>0</v>
      </c>
      <c r="AI16" s="5">
        <f t="shared" si="3"/>
        <v>0</v>
      </c>
    </row>
    <row r="17" spans="2:35" x14ac:dyDescent="0.25">
      <c r="B17" t="s">
        <v>23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2:35" x14ac:dyDescent="0.25">
      <c r="B18" s="1" t="s">
        <v>3</v>
      </c>
      <c r="C18" s="5">
        <f t="shared" ref="C18:AI18" si="4">C16-C17</f>
        <v>96.75</v>
      </c>
      <c r="D18" s="5">
        <f t="shared" si="4"/>
        <v>96.75</v>
      </c>
      <c r="E18" s="5">
        <f t="shared" si="4"/>
        <v>96.75</v>
      </c>
      <c r="F18" s="5">
        <f t="shared" si="4"/>
        <v>96.75</v>
      </c>
      <c r="G18" s="5">
        <f t="shared" si="4"/>
        <v>96.75</v>
      </c>
      <c r="H18" s="5">
        <f t="shared" si="4"/>
        <v>96.75</v>
      </c>
      <c r="I18" s="5">
        <f t="shared" si="4"/>
        <v>96.75</v>
      </c>
      <c r="J18" s="5">
        <f t="shared" si="4"/>
        <v>96.75</v>
      </c>
      <c r="K18" s="5">
        <f t="shared" si="4"/>
        <v>96.75</v>
      </c>
      <c r="L18" s="5">
        <f t="shared" si="4"/>
        <v>96.75</v>
      </c>
      <c r="M18" s="5">
        <f t="shared" si="4"/>
        <v>96.75</v>
      </c>
      <c r="N18" s="5">
        <f t="shared" si="4"/>
        <v>96.75</v>
      </c>
      <c r="O18" s="5">
        <f t="shared" si="4"/>
        <v>96.75</v>
      </c>
      <c r="P18" s="5">
        <f t="shared" si="4"/>
        <v>96.75</v>
      </c>
      <c r="Q18" s="5">
        <f t="shared" si="4"/>
        <v>96.75</v>
      </c>
      <c r="R18" s="5">
        <f t="shared" si="4"/>
        <v>96.75</v>
      </c>
      <c r="S18" s="5">
        <f t="shared" si="4"/>
        <v>96.75</v>
      </c>
      <c r="T18" s="5">
        <f t="shared" si="4"/>
        <v>96.75</v>
      </c>
      <c r="U18" s="5">
        <f t="shared" si="4"/>
        <v>96.75</v>
      </c>
      <c r="V18" s="5">
        <f t="shared" si="4"/>
        <v>96.75</v>
      </c>
      <c r="W18" s="5">
        <f t="shared" si="4"/>
        <v>96.75</v>
      </c>
      <c r="X18" s="5">
        <f t="shared" si="4"/>
        <v>96.75</v>
      </c>
      <c r="Y18" s="5">
        <f t="shared" si="4"/>
        <v>96.75</v>
      </c>
      <c r="Z18" s="5">
        <f t="shared" si="4"/>
        <v>96.75</v>
      </c>
      <c r="AA18" s="5">
        <f t="shared" si="4"/>
        <v>96.75</v>
      </c>
      <c r="AB18" s="5">
        <f t="shared" si="4"/>
        <v>96.75</v>
      </c>
      <c r="AC18" s="5">
        <f t="shared" si="4"/>
        <v>96.75</v>
      </c>
      <c r="AD18" s="5">
        <f t="shared" si="4"/>
        <v>96.75</v>
      </c>
      <c r="AE18" s="5">
        <f t="shared" si="4"/>
        <v>96.75</v>
      </c>
      <c r="AF18" s="5">
        <f t="shared" si="4"/>
        <v>96.75</v>
      </c>
      <c r="AG18" s="5">
        <f t="shared" si="4"/>
        <v>0</v>
      </c>
      <c r="AH18" s="5">
        <f t="shared" si="4"/>
        <v>0</v>
      </c>
      <c r="AI18" s="5">
        <f t="shared" si="4"/>
        <v>0</v>
      </c>
    </row>
    <row r="19" spans="2:35" x14ac:dyDescent="0.25">
      <c r="B19" t="s">
        <v>20</v>
      </c>
      <c r="C19" s="6">
        <f>0.25*C18</f>
        <v>24.1875</v>
      </c>
      <c r="D19" s="6">
        <f t="shared" ref="D19:AI19" si="5">0.25*D18</f>
        <v>24.1875</v>
      </c>
      <c r="E19" s="6">
        <f t="shared" si="5"/>
        <v>24.1875</v>
      </c>
      <c r="F19" s="6">
        <f t="shared" si="5"/>
        <v>24.1875</v>
      </c>
      <c r="G19" s="6">
        <f t="shared" si="5"/>
        <v>24.1875</v>
      </c>
      <c r="H19" s="6">
        <f t="shared" si="5"/>
        <v>24.1875</v>
      </c>
      <c r="I19" s="6">
        <f t="shared" si="5"/>
        <v>24.1875</v>
      </c>
      <c r="J19" s="6">
        <f t="shared" si="5"/>
        <v>24.1875</v>
      </c>
      <c r="K19" s="6">
        <f t="shared" si="5"/>
        <v>24.1875</v>
      </c>
      <c r="L19" s="6">
        <f t="shared" si="5"/>
        <v>24.1875</v>
      </c>
      <c r="M19" s="6">
        <f t="shared" si="5"/>
        <v>24.1875</v>
      </c>
      <c r="N19" s="6">
        <f t="shared" si="5"/>
        <v>24.1875</v>
      </c>
      <c r="O19" s="6">
        <f t="shared" si="5"/>
        <v>24.1875</v>
      </c>
      <c r="P19" s="6">
        <f t="shared" si="5"/>
        <v>24.1875</v>
      </c>
      <c r="Q19" s="6">
        <f t="shared" si="5"/>
        <v>24.1875</v>
      </c>
      <c r="R19" s="6">
        <f t="shared" si="5"/>
        <v>24.1875</v>
      </c>
      <c r="S19" s="6">
        <f t="shared" si="5"/>
        <v>24.1875</v>
      </c>
      <c r="T19" s="6">
        <f t="shared" si="5"/>
        <v>24.1875</v>
      </c>
      <c r="U19" s="6">
        <f t="shared" si="5"/>
        <v>24.1875</v>
      </c>
      <c r="V19" s="6">
        <f t="shared" si="5"/>
        <v>24.1875</v>
      </c>
      <c r="W19" s="6">
        <f t="shared" si="5"/>
        <v>24.1875</v>
      </c>
      <c r="X19" s="6">
        <f t="shared" si="5"/>
        <v>24.1875</v>
      </c>
      <c r="Y19" s="6">
        <f t="shared" si="5"/>
        <v>24.1875</v>
      </c>
      <c r="Z19" s="6">
        <f t="shared" si="5"/>
        <v>24.1875</v>
      </c>
      <c r="AA19" s="6">
        <f t="shared" si="5"/>
        <v>24.1875</v>
      </c>
      <c r="AB19" s="6">
        <f t="shared" si="5"/>
        <v>24.1875</v>
      </c>
      <c r="AC19" s="6">
        <f t="shared" si="5"/>
        <v>24.1875</v>
      </c>
      <c r="AD19" s="6">
        <f t="shared" si="5"/>
        <v>24.1875</v>
      </c>
      <c r="AE19" s="6">
        <f t="shared" si="5"/>
        <v>24.1875</v>
      </c>
      <c r="AF19" s="6">
        <f t="shared" si="5"/>
        <v>24.1875</v>
      </c>
      <c r="AG19" s="6">
        <f t="shared" si="5"/>
        <v>0</v>
      </c>
      <c r="AH19" s="6">
        <f t="shared" si="5"/>
        <v>0</v>
      </c>
      <c r="AI19" s="6">
        <f t="shared" si="5"/>
        <v>0</v>
      </c>
    </row>
    <row r="20" spans="2:35" x14ac:dyDescent="0.25">
      <c r="B20" s="1" t="s">
        <v>4</v>
      </c>
      <c r="C20" s="5">
        <f t="shared" ref="C20:AI20" si="6">C18-C19</f>
        <v>72.5625</v>
      </c>
      <c r="D20" s="5">
        <f t="shared" si="6"/>
        <v>72.5625</v>
      </c>
      <c r="E20" s="5">
        <f t="shared" si="6"/>
        <v>72.5625</v>
      </c>
      <c r="F20" s="5">
        <f t="shared" si="6"/>
        <v>72.5625</v>
      </c>
      <c r="G20" s="5">
        <f t="shared" si="6"/>
        <v>72.5625</v>
      </c>
      <c r="H20" s="5">
        <f t="shared" si="6"/>
        <v>72.5625</v>
      </c>
      <c r="I20" s="5">
        <f t="shared" si="6"/>
        <v>72.5625</v>
      </c>
      <c r="J20" s="5">
        <f t="shared" si="6"/>
        <v>72.5625</v>
      </c>
      <c r="K20" s="5">
        <f t="shared" si="6"/>
        <v>72.5625</v>
      </c>
      <c r="L20" s="5">
        <f t="shared" si="6"/>
        <v>72.5625</v>
      </c>
      <c r="M20" s="5">
        <f t="shared" si="6"/>
        <v>72.5625</v>
      </c>
      <c r="N20" s="5">
        <f t="shared" si="6"/>
        <v>72.5625</v>
      </c>
      <c r="O20" s="5">
        <f t="shared" si="6"/>
        <v>72.5625</v>
      </c>
      <c r="P20" s="5">
        <f t="shared" si="6"/>
        <v>72.5625</v>
      </c>
      <c r="Q20" s="5">
        <f t="shared" si="6"/>
        <v>72.5625</v>
      </c>
      <c r="R20" s="5">
        <f t="shared" si="6"/>
        <v>72.5625</v>
      </c>
      <c r="S20" s="5">
        <f t="shared" si="6"/>
        <v>72.5625</v>
      </c>
      <c r="T20" s="5">
        <f t="shared" si="6"/>
        <v>72.5625</v>
      </c>
      <c r="U20" s="5">
        <f t="shared" si="6"/>
        <v>72.5625</v>
      </c>
      <c r="V20" s="5">
        <f t="shared" si="6"/>
        <v>72.5625</v>
      </c>
      <c r="W20" s="5">
        <f t="shared" si="6"/>
        <v>72.5625</v>
      </c>
      <c r="X20" s="5">
        <f t="shared" si="6"/>
        <v>72.5625</v>
      </c>
      <c r="Y20" s="5">
        <f t="shared" si="6"/>
        <v>72.5625</v>
      </c>
      <c r="Z20" s="5">
        <f t="shared" si="6"/>
        <v>72.5625</v>
      </c>
      <c r="AA20" s="5">
        <f t="shared" si="6"/>
        <v>72.5625</v>
      </c>
      <c r="AB20" s="5">
        <f t="shared" si="6"/>
        <v>72.5625</v>
      </c>
      <c r="AC20" s="5">
        <f t="shared" si="6"/>
        <v>72.5625</v>
      </c>
      <c r="AD20" s="5">
        <f t="shared" si="6"/>
        <v>72.5625</v>
      </c>
      <c r="AE20" s="5">
        <f t="shared" si="6"/>
        <v>72.5625</v>
      </c>
      <c r="AF20" s="5">
        <f t="shared" si="6"/>
        <v>72.5625</v>
      </c>
      <c r="AG20" s="5">
        <f t="shared" si="6"/>
        <v>0</v>
      </c>
      <c r="AH20" s="5">
        <f t="shared" si="6"/>
        <v>0</v>
      </c>
      <c r="AI20" s="5">
        <f t="shared" si="6"/>
        <v>0</v>
      </c>
    </row>
    <row r="21" spans="2:35" x14ac:dyDescent="0.25">
      <c r="B21" t="s">
        <v>136</v>
      </c>
      <c r="C21" s="6">
        <f>C15</f>
        <v>65.25</v>
      </c>
      <c r="D21" s="6">
        <f>D15</f>
        <v>65.25</v>
      </c>
      <c r="E21" s="6">
        <f>E15</f>
        <v>65.25</v>
      </c>
      <c r="F21" s="6">
        <f>F15</f>
        <v>65.25</v>
      </c>
      <c r="G21" s="6">
        <f>G15</f>
        <v>65.25</v>
      </c>
      <c r="H21" s="6">
        <f t="shared" ref="H21:AI21" si="7">H15</f>
        <v>65.25</v>
      </c>
      <c r="I21" s="6">
        <f t="shared" si="7"/>
        <v>65.25</v>
      </c>
      <c r="J21" s="6">
        <f t="shared" si="7"/>
        <v>65.25</v>
      </c>
      <c r="K21" s="6">
        <f t="shared" si="7"/>
        <v>65.25</v>
      </c>
      <c r="L21" s="6">
        <f t="shared" si="7"/>
        <v>65.25</v>
      </c>
      <c r="M21" s="6">
        <f t="shared" si="7"/>
        <v>65.25</v>
      </c>
      <c r="N21" s="6">
        <f t="shared" si="7"/>
        <v>65.25</v>
      </c>
      <c r="O21" s="6">
        <f t="shared" si="7"/>
        <v>65.25</v>
      </c>
      <c r="P21" s="6">
        <f t="shared" si="7"/>
        <v>65.25</v>
      </c>
      <c r="Q21" s="6">
        <f t="shared" si="7"/>
        <v>65.25</v>
      </c>
      <c r="R21" s="6">
        <f t="shared" si="7"/>
        <v>65.25</v>
      </c>
      <c r="S21" s="6">
        <f t="shared" si="7"/>
        <v>65.25</v>
      </c>
      <c r="T21" s="6">
        <f t="shared" si="7"/>
        <v>65.25</v>
      </c>
      <c r="U21" s="6">
        <f t="shared" si="7"/>
        <v>65.25</v>
      </c>
      <c r="V21" s="6">
        <f t="shared" si="7"/>
        <v>65.25</v>
      </c>
      <c r="W21" s="6">
        <f t="shared" si="7"/>
        <v>65.25</v>
      </c>
      <c r="X21" s="6">
        <f t="shared" si="7"/>
        <v>65.25</v>
      </c>
      <c r="Y21" s="6">
        <f t="shared" si="7"/>
        <v>65.25</v>
      </c>
      <c r="Z21" s="6">
        <f t="shared" si="7"/>
        <v>65.25</v>
      </c>
      <c r="AA21" s="6">
        <f t="shared" si="7"/>
        <v>65.25</v>
      </c>
      <c r="AB21" s="6">
        <f t="shared" si="7"/>
        <v>65.25</v>
      </c>
      <c r="AC21" s="6">
        <f t="shared" si="7"/>
        <v>65.25</v>
      </c>
      <c r="AD21" s="6">
        <f t="shared" si="7"/>
        <v>65.25</v>
      </c>
      <c r="AE21" s="6">
        <f t="shared" si="7"/>
        <v>65.25</v>
      </c>
      <c r="AF21" s="6">
        <f t="shared" si="7"/>
        <v>65.25</v>
      </c>
      <c r="AG21" s="6">
        <f t="shared" si="7"/>
        <v>0</v>
      </c>
      <c r="AH21" s="6">
        <f t="shared" si="7"/>
        <v>0</v>
      </c>
      <c r="AI21" s="6">
        <f t="shared" si="7"/>
        <v>0</v>
      </c>
    </row>
    <row r="22" spans="2:35" x14ac:dyDescent="0.25">
      <c r="B22" t="s">
        <v>45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/>
      <c r="S22" s="6"/>
      <c r="T22" s="6"/>
      <c r="U22" s="6"/>
      <c r="V22" s="6"/>
      <c r="W22" s="6"/>
      <c r="X22" s="6"/>
      <c r="Y22" s="6"/>
      <c r="Z22" s="6"/>
      <c r="AA22" s="5"/>
      <c r="AB22" s="5"/>
      <c r="AC22" s="5"/>
      <c r="AD22" s="5"/>
      <c r="AE22" s="5"/>
      <c r="AF22" s="5"/>
      <c r="AG22" s="5"/>
      <c r="AH22" s="5"/>
      <c r="AI22" s="5"/>
    </row>
    <row r="23" spans="2:35" x14ac:dyDescent="0.25">
      <c r="B23" s="11" t="s">
        <v>137</v>
      </c>
      <c r="C23" s="6">
        <v>365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5"/>
      <c r="AC23" s="5"/>
      <c r="AD23" s="5"/>
      <c r="AE23" s="5"/>
      <c r="AF23" s="5"/>
      <c r="AG23" s="5"/>
      <c r="AH23" s="5"/>
      <c r="AI23" s="5"/>
    </row>
    <row r="24" spans="2:35" x14ac:dyDescent="0.25">
      <c r="B24" s="58" t="s">
        <v>33</v>
      </c>
      <c r="C24" s="6">
        <f>C29*0.5</f>
        <v>978.75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5"/>
      <c r="AC24" s="5"/>
      <c r="AD24" s="5"/>
      <c r="AE24" s="5"/>
      <c r="AF24" s="5"/>
      <c r="AG24" s="5"/>
      <c r="AH24" s="5"/>
      <c r="AI24" s="5"/>
    </row>
    <row r="25" spans="2:35" x14ac:dyDescent="0.25">
      <c r="B25" s="1" t="s">
        <v>5</v>
      </c>
      <c r="C25" s="5">
        <f>C20+SUM(C21:C24)</f>
        <v>1481.5625</v>
      </c>
      <c r="D25" s="5">
        <f t="shared" ref="D25:H25" si="8">D20+SUM(D21:D24)</f>
        <v>137.8125</v>
      </c>
      <c r="E25" s="5">
        <f t="shared" si="8"/>
        <v>137.8125</v>
      </c>
      <c r="F25" s="5">
        <f t="shared" si="8"/>
        <v>137.8125</v>
      </c>
      <c r="G25" s="5">
        <f t="shared" si="8"/>
        <v>137.8125</v>
      </c>
      <c r="H25" s="5">
        <f t="shared" si="8"/>
        <v>137.8125</v>
      </c>
      <c r="I25" s="5">
        <f t="shared" ref="I25:AI25" si="9">I20+SUM(I21:I24)</f>
        <v>137.8125</v>
      </c>
      <c r="J25" s="5">
        <f t="shared" si="9"/>
        <v>137.8125</v>
      </c>
      <c r="K25" s="5">
        <f t="shared" si="9"/>
        <v>137.8125</v>
      </c>
      <c r="L25" s="5">
        <f t="shared" si="9"/>
        <v>137.8125</v>
      </c>
      <c r="M25" s="5">
        <f t="shared" si="9"/>
        <v>137.8125</v>
      </c>
      <c r="N25" s="5">
        <f t="shared" si="9"/>
        <v>137.8125</v>
      </c>
      <c r="O25" s="5">
        <f t="shared" si="9"/>
        <v>137.8125</v>
      </c>
      <c r="P25" s="5">
        <f t="shared" si="9"/>
        <v>137.8125</v>
      </c>
      <c r="Q25" s="5">
        <f t="shared" si="9"/>
        <v>137.8125</v>
      </c>
      <c r="R25" s="5">
        <f t="shared" si="9"/>
        <v>137.8125</v>
      </c>
      <c r="S25" s="5">
        <f t="shared" si="9"/>
        <v>137.8125</v>
      </c>
      <c r="T25" s="5">
        <f t="shared" si="9"/>
        <v>137.8125</v>
      </c>
      <c r="U25" s="5">
        <f t="shared" si="9"/>
        <v>137.8125</v>
      </c>
      <c r="V25" s="5">
        <f t="shared" si="9"/>
        <v>137.8125</v>
      </c>
      <c r="W25" s="5">
        <f t="shared" si="9"/>
        <v>137.8125</v>
      </c>
      <c r="X25" s="5">
        <f t="shared" si="9"/>
        <v>137.8125</v>
      </c>
      <c r="Y25" s="5">
        <f t="shared" si="9"/>
        <v>137.8125</v>
      </c>
      <c r="Z25" s="5">
        <f t="shared" si="9"/>
        <v>137.8125</v>
      </c>
      <c r="AA25" s="5">
        <f t="shared" si="9"/>
        <v>137.8125</v>
      </c>
      <c r="AB25" s="5">
        <f t="shared" si="9"/>
        <v>137.8125</v>
      </c>
      <c r="AC25" s="5">
        <f t="shared" si="9"/>
        <v>137.8125</v>
      </c>
      <c r="AD25" s="5">
        <f t="shared" si="9"/>
        <v>137.8125</v>
      </c>
      <c r="AE25" s="5">
        <f t="shared" si="9"/>
        <v>137.8125</v>
      </c>
      <c r="AF25" s="5">
        <f t="shared" si="9"/>
        <v>137.8125</v>
      </c>
      <c r="AG25" s="5">
        <f t="shared" si="9"/>
        <v>0</v>
      </c>
      <c r="AH25" s="5">
        <f t="shared" si="9"/>
        <v>0</v>
      </c>
      <c r="AI25" s="5">
        <f t="shared" si="9"/>
        <v>0</v>
      </c>
    </row>
    <row r="26" spans="2:35" x14ac:dyDescent="0.25"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2:35" x14ac:dyDescent="0.25">
      <c r="B27" s="21" t="s">
        <v>27</v>
      </c>
      <c r="C27" s="21"/>
      <c r="D27" s="21" t="s">
        <v>44</v>
      </c>
      <c r="E27" s="90" t="s">
        <v>0</v>
      </c>
      <c r="F27" s="90" t="s">
        <v>226</v>
      </c>
      <c r="G27" s="90" t="s">
        <v>227</v>
      </c>
      <c r="H27" s="90" t="s">
        <v>228</v>
      </c>
      <c r="I27" s="90" t="s">
        <v>229</v>
      </c>
      <c r="J27" s="90" t="s">
        <v>230</v>
      </c>
      <c r="K27" s="90" t="s">
        <v>231</v>
      </c>
      <c r="L27" s="90" t="s">
        <v>232</v>
      </c>
      <c r="M27" s="90" t="s">
        <v>233</v>
      </c>
      <c r="N27" s="90" t="s">
        <v>234</v>
      </c>
      <c r="O27" s="90" t="s">
        <v>235</v>
      </c>
      <c r="P27" s="90" t="s">
        <v>236</v>
      </c>
      <c r="Q27" s="90" t="s">
        <v>237</v>
      </c>
      <c r="R27" s="90" t="s">
        <v>238</v>
      </c>
      <c r="S27" s="90" t="s">
        <v>239</v>
      </c>
      <c r="T27" s="90" t="s">
        <v>240</v>
      </c>
      <c r="U27" s="90" t="s">
        <v>241</v>
      </c>
      <c r="V27" s="90" t="s">
        <v>242</v>
      </c>
      <c r="W27" s="90" t="s">
        <v>243</v>
      </c>
      <c r="X27" s="90" t="s">
        <v>244</v>
      </c>
      <c r="Y27" s="90" t="s">
        <v>245</v>
      </c>
      <c r="Z27" s="90" t="s">
        <v>246</v>
      </c>
      <c r="AA27" s="90" t="s">
        <v>247</v>
      </c>
      <c r="AB27" s="90" t="s">
        <v>248</v>
      </c>
      <c r="AC27" s="90" t="s">
        <v>249</v>
      </c>
      <c r="AD27" s="90" t="s">
        <v>250</v>
      </c>
      <c r="AE27" s="90" t="s">
        <v>251</v>
      </c>
      <c r="AF27" s="90" t="s">
        <v>252</v>
      </c>
      <c r="AG27" s="90" t="s">
        <v>253</v>
      </c>
      <c r="AH27" s="90" t="s">
        <v>254</v>
      </c>
      <c r="AI27" s="90" t="s">
        <v>255</v>
      </c>
    </row>
    <row r="28" spans="2:35" x14ac:dyDescent="0.25">
      <c r="B28" s="7" t="s">
        <v>7</v>
      </c>
      <c r="C28" s="8">
        <f>SUM(C25:AF25)</f>
        <v>5478.125</v>
      </c>
      <c r="D28" s="6" t="s">
        <v>29</v>
      </c>
      <c r="E28" s="10">
        <f>C25-C29</f>
        <v>-475.9375</v>
      </c>
      <c r="F28" s="10">
        <f>E28+D25</f>
        <v>-338.125</v>
      </c>
      <c r="G28" s="10">
        <f t="shared" ref="G28:AH28" si="10">F28+E25</f>
        <v>-200.3125</v>
      </c>
      <c r="H28" s="10">
        <f t="shared" si="10"/>
        <v>-62.5</v>
      </c>
      <c r="I28" s="10">
        <f t="shared" si="10"/>
        <v>75.3125</v>
      </c>
      <c r="J28" s="10">
        <f t="shared" si="10"/>
        <v>213.125</v>
      </c>
      <c r="K28" s="10">
        <f t="shared" si="10"/>
        <v>350.9375</v>
      </c>
      <c r="L28" s="10">
        <f t="shared" si="10"/>
        <v>488.75</v>
      </c>
      <c r="M28" s="10">
        <f t="shared" si="10"/>
        <v>626.5625</v>
      </c>
      <c r="N28" s="10">
        <f t="shared" si="10"/>
        <v>764.375</v>
      </c>
      <c r="O28" s="10">
        <f t="shared" si="10"/>
        <v>902.1875</v>
      </c>
      <c r="P28" s="10">
        <f t="shared" si="10"/>
        <v>1040</v>
      </c>
      <c r="Q28" s="10">
        <f t="shared" si="10"/>
        <v>1177.8125</v>
      </c>
      <c r="R28" s="10">
        <f t="shared" si="10"/>
        <v>1315.625</v>
      </c>
      <c r="S28" s="10">
        <f t="shared" si="10"/>
        <v>1453.4375</v>
      </c>
      <c r="T28" s="10">
        <f t="shared" si="10"/>
        <v>1591.25</v>
      </c>
      <c r="U28" s="10">
        <f t="shared" si="10"/>
        <v>1729.0625</v>
      </c>
      <c r="V28" s="10">
        <f t="shared" si="10"/>
        <v>1866.875</v>
      </c>
      <c r="W28" s="10">
        <f t="shared" si="10"/>
        <v>2004.6875</v>
      </c>
      <c r="X28" s="10">
        <f t="shared" si="10"/>
        <v>2142.5</v>
      </c>
      <c r="Y28" s="10">
        <f t="shared" si="10"/>
        <v>2280.3125</v>
      </c>
      <c r="Z28" s="10">
        <f t="shared" si="10"/>
        <v>2418.125</v>
      </c>
      <c r="AA28" s="10">
        <f t="shared" si="10"/>
        <v>2555.9375</v>
      </c>
      <c r="AB28" s="10">
        <f t="shared" si="10"/>
        <v>2693.75</v>
      </c>
      <c r="AC28" s="10">
        <f t="shared" si="10"/>
        <v>2831.5625</v>
      </c>
      <c r="AD28" s="10">
        <f t="shared" si="10"/>
        <v>2969.375</v>
      </c>
      <c r="AE28" s="10">
        <f t="shared" si="10"/>
        <v>3107.1875</v>
      </c>
      <c r="AF28" s="10">
        <f t="shared" si="10"/>
        <v>3245</v>
      </c>
      <c r="AG28" s="10">
        <f t="shared" si="10"/>
        <v>3382.8125</v>
      </c>
      <c r="AH28" s="10">
        <f t="shared" si="10"/>
        <v>3520.625</v>
      </c>
      <c r="AI28" s="10">
        <v>0</v>
      </c>
    </row>
    <row r="29" spans="2:35" ht="30" x14ac:dyDescent="0.25">
      <c r="B29" s="60" t="s">
        <v>143</v>
      </c>
      <c r="C29" s="8">
        <v>1957.5</v>
      </c>
      <c r="D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35" x14ac:dyDescent="0.25">
      <c r="B30" s="7" t="s">
        <v>18</v>
      </c>
      <c r="C30" s="8"/>
      <c r="D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35" x14ac:dyDescent="0.25">
      <c r="B31" s="7" t="s">
        <v>8</v>
      </c>
      <c r="C31" s="8">
        <f>C28-C29</f>
        <v>3520.625</v>
      </c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35" x14ac:dyDescent="0.25">
      <c r="B32" s="7" t="s">
        <v>10</v>
      </c>
      <c r="C32" s="15">
        <f>C31/C29*100%</f>
        <v>1.7985312899106003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35" x14ac:dyDescent="0.25">
      <c r="C33" s="2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35" x14ac:dyDescent="0.25">
      <c r="B34" t="s">
        <v>31</v>
      </c>
      <c r="C34" s="4">
        <v>0.05</v>
      </c>
      <c r="D34" s="6"/>
      <c r="E34" s="6"/>
    </row>
    <row r="35" spans="2:35" x14ac:dyDescent="0.25">
      <c r="B35" s="1" t="s">
        <v>6</v>
      </c>
      <c r="C35" s="5">
        <f>C25/(1+$C34)</f>
        <v>1411.0119047619046</v>
      </c>
      <c r="D35" s="5">
        <f>D25/(1+$C34)^2</f>
        <v>125</v>
      </c>
      <c r="E35" s="5">
        <f>E25/(1+$C34)^3</f>
        <v>119.04761904761904</v>
      </c>
      <c r="F35" s="5">
        <f>F25/(1+$C34)^4</f>
        <v>113.37868480725623</v>
      </c>
      <c r="G35" s="5">
        <f>G25/(1+$C34)^5</f>
        <v>107.9796998164345</v>
      </c>
      <c r="H35" s="5">
        <f>H25/(1+$C34)^6</f>
        <v>102.83780934898525</v>
      </c>
      <c r="I35" s="5">
        <f>I25/(1+$C34)^7</f>
        <v>97.94077080855736</v>
      </c>
      <c r="J35" s="5">
        <f>J25/(1+$C34)^8</f>
        <v>93.276924579578449</v>
      </c>
      <c r="K35" s="5">
        <f>K25/(1+$C34)^9</f>
        <v>88.83516626626519</v>
      </c>
      <c r="L35" s="5">
        <f>L25/(1+$C34)^10</f>
        <v>84.604920253585888</v>
      </c>
      <c r="M35" s="5">
        <f>M25/(1+$C34)^11</f>
        <v>80.576114527224661</v>
      </c>
      <c r="N35" s="5">
        <f>N25/(1+$C34)^12</f>
        <v>76.739156692594918</v>
      </c>
      <c r="O35" s="5">
        <f>O25/(1+$C34)^13</f>
        <v>73.084911135804674</v>
      </c>
      <c r="P35" s="5">
        <f>P25/(1+$C34)^14</f>
        <v>69.604677272194948</v>
      </c>
      <c r="Q35" s="5">
        <f>Q25/(1+$C34)^15</f>
        <v>66.290168830661827</v>
      </c>
      <c r="R35" s="5">
        <f>R25/(1+$C34)^16</f>
        <v>63.133494124439842</v>
      </c>
      <c r="S35" s="5">
        <f>S25/(1+$C34)^17</f>
        <v>60.127137261371274</v>
      </c>
      <c r="T35" s="5">
        <f>T25/(1+$C34)^18</f>
        <v>57.263940248925024</v>
      </c>
      <c r="U35" s="5">
        <f>U25/(1+$C34)^19</f>
        <v>54.537085951357163</v>
      </c>
      <c r="V35" s="5">
        <f>V25/(1+$C34)^20</f>
        <v>51.940081858435391</v>
      </c>
      <c r="W35" s="5">
        <f>W25/(1+$C34)^21</f>
        <v>49.466744627081333</v>
      </c>
      <c r="X35" s="5">
        <f>X25/(1+$C34)^22</f>
        <v>47.111185359125081</v>
      </c>
      <c r="Y35" s="5">
        <f>Y25/(1+$C34)^23</f>
        <v>44.867795580119115</v>
      </c>
      <c r="Z35" s="5">
        <f>Z25/(1+$C34)^24</f>
        <v>42.731233885827734</v>
      </c>
      <c r="AA35" s="5">
        <f>AA25/(1+$C34)^25</f>
        <v>40.69641322459784</v>
      </c>
      <c r="AB35" s="5">
        <f>AB25/(1+$C34)^26</f>
        <v>38.758488785331274</v>
      </c>
      <c r="AC35" s="5">
        <f>AC25/(1+$C34)^27</f>
        <v>36.912846462220259</v>
      </c>
      <c r="AD35" s="5">
        <f>AD25/(1+$C34)^28</f>
        <v>35.155091868781206</v>
      </c>
      <c r="AE35" s="5">
        <f>AE25/(1+$C34)^29</f>
        <v>33.481039875029708</v>
      </c>
      <c r="AF35" s="5">
        <f>AF25/(1+$C34)^30</f>
        <v>31.886704642885451</v>
      </c>
      <c r="AG35" s="5">
        <f>AG25/(1+$C34)^31</f>
        <v>0</v>
      </c>
      <c r="AH35" s="5">
        <f>AH25/(1+$C34)^32</f>
        <v>0</v>
      </c>
      <c r="AI35" s="5">
        <f>AI25/(1+$C34)^33</f>
        <v>0</v>
      </c>
    </row>
    <row r="36" spans="2:35" x14ac:dyDescent="0.25">
      <c r="B36" s="1"/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35" x14ac:dyDescent="0.25">
      <c r="B37" s="22" t="s">
        <v>28</v>
      </c>
      <c r="C37" s="23"/>
      <c r="D37" s="49" t="s">
        <v>44</v>
      </c>
      <c r="E37" s="121" t="s">
        <v>0</v>
      </c>
      <c r="F37" s="121" t="s">
        <v>226</v>
      </c>
      <c r="G37" s="121" t="s">
        <v>227</v>
      </c>
      <c r="H37" s="121" t="s">
        <v>228</v>
      </c>
      <c r="I37" s="121" t="s">
        <v>229</v>
      </c>
      <c r="J37" s="121" t="s">
        <v>230</v>
      </c>
      <c r="K37" s="121" t="s">
        <v>231</v>
      </c>
      <c r="L37" s="121" t="s">
        <v>232</v>
      </c>
      <c r="M37" s="121" t="s">
        <v>233</v>
      </c>
      <c r="N37" s="121" t="s">
        <v>234</v>
      </c>
      <c r="O37" s="121" t="s">
        <v>235</v>
      </c>
      <c r="P37" s="121" t="s">
        <v>236</v>
      </c>
      <c r="Q37" s="121" t="s">
        <v>237</v>
      </c>
      <c r="R37" s="121" t="s">
        <v>238</v>
      </c>
      <c r="S37" s="121" t="s">
        <v>239</v>
      </c>
      <c r="T37" s="121" t="s">
        <v>240</v>
      </c>
      <c r="U37" s="121" t="s">
        <v>241</v>
      </c>
      <c r="V37" s="121" t="s">
        <v>242</v>
      </c>
      <c r="W37" s="121" t="s">
        <v>243</v>
      </c>
      <c r="X37" s="121" t="s">
        <v>244</v>
      </c>
      <c r="Y37" s="121" t="s">
        <v>245</v>
      </c>
      <c r="Z37" s="121" t="s">
        <v>246</v>
      </c>
      <c r="AA37" s="121" t="s">
        <v>247</v>
      </c>
      <c r="AB37" s="121" t="s">
        <v>248</v>
      </c>
      <c r="AC37" s="121" t="s">
        <v>249</v>
      </c>
      <c r="AD37" s="121" t="s">
        <v>250</v>
      </c>
      <c r="AE37" s="121" t="s">
        <v>251</v>
      </c>
      <c r="AF37" s="121" t="s">
        <v>252</v>
      </c>
      <c r="AG37" s="121" t="s">
        <v>253</v>
      </c>
      <c r="AH37" s="121" t="s">
        <v>254</v>
      </c>
      <c r="AI37" s="121" t="s">
        <v>255</v>
      </c>
    </row>
    <row r="38" spans="2:35" x14ac:dyDescent="0.25">
      <c r="B38" s="7" t="s">
        <v>15</v>
      </c>
      <c r="C38" s="8">
        <f>SUM(C35:AF35)</f>
        <v>3398.2778119041959</v>
      </c>
      <c r="D38" s="6" t="s">
        <v>30</v>
      </c>
      <c r="E38" s="10">
        <f>C35-C39</f>
        <v>-546.48809523809541</v>
      </c>
      <c r="F38" s="10">
        <f>E38+D35</f>
        <v>-421.48809523809541</v>
      </c>
      <c r="G38" s="10">
        <f t="shared" ref="G38:AH38" si="11">F38+E35</f>
        <v>-302.44047619047637</v>
      </c>
      <c r="H38" s="10">
        <f t="shared" si="11"/>
        <v>-189.06179138322014</v>
      </c>
      <c r="I38" s="10">
        <f t="shared" si="11"/>
        <v>-81.082091566785635</v>
      </c>
      <c r="J38" s="10">
        <f t="shared" si="11"/>
        <v>21.755717782199611</v>
      </c>
      <c r="K38" s="10">
        <f t="shared" si="11"/>
        <v>119.69648859075697</v>
      </c>
      <c r="L38" s="10">
        <f t="shared" si="11"/>
        <v>212.97341317033542</v>
      </c>
      <c r="M38" s="10">
        <f t="shared" si="11"/>
        <v>301.80857943660061</v>
      </c>
      <c r="N38" s="10">
        <f t="shared" si="11"/>
        <v>386.41349969018648</v>
      </c>
      <c r="O38" s="10">
        <f t="shared" si="11"/>
        <v>466.98961421741114</v>
      </c>
      <c r="P38" s="10">
        <f t="shared" si="11"/>
        <v>543.72877091000601</v>
      </c>
      <c r="Q38" s="10">
        <f t="shared" si="11"/>
        <v>616.81368204581065</v>
      </c>
      <c r="R38" s="10">
        <f t="shared" si="11"/>
        <v>686.41835931800563</v>
      </c>
      <c r="S38" s="10">
        <f t="shared" si="11"/>
        <v>752.70852814866748</v>
      </c>
      <c r="T38" s="10">
        <f t="shared" si="11"/>
        <v>815.84202227310732</v>
      </c>
      <c r="U38" s="10">
        <f t="shared" si="11"/>
        <v>875.96915953447865</v>
      </c>
      <c r="V38" s="10">
        <f t="shared" si="11"/>
        <v>933.23309978340365</v>
      </c>
      <c r="W38" s="10">
        <f t="shared" si="11"/>
        <v>987.77018573476084</v>
      </c>
      <c r="X38" s="10">
        <f t="shared" si="11"/>
        <v>1039.7102675931962</v>
      </c>
      <c r="Y38" s="10">
        <f t="shared" si="11"/>
        <v>1089.1770122202777</v>
      </c>
      <c r="Z38" s="10">
        <f t="shared" si="11"/>
        <v>1136.2881975794028</v>
      </c>
      <c r="AA38" s="10">
        <f t="shared" si="11"/>
        <v>1181.1559931595218</v>
      </c>
      <c r="AB38" s="10">
        <f t="shared" si="11"/>
        <v>1223.8872270453496</v>
      </c>
      <c r="AC38" s="10">
        <f t="shared" si="11"/>
        <v>1264.5836402699474</v>
      </c>
      <c r="AD38" s="10">
        <f t="shared" si="11"/>
        <v>1303.3421290552787</v>
      </c>
      <c r="AE38" s="10">
        <f t="shared" si="11"/>
        <v>1340.2549755174989</v>
      </c>
      <c r="AF38" s="10">
        <f t="shared" si="11"/>
        <v>1375.4100673862802</v>
      </c>
      <c r="AG38" s="10">
        <f t="shared" si="11"/>
        <v>1408.8911072613098</v>
      </c>
      <c r="AH38" s="10">
        <f t="shared" si="11"/>
        <v>1440.7778119041952</v>
      </c>
      <c r="AI38" s="10"/>
    </row>
    <row r="39" spans="2:35" x14ac:dyDescent="0.25">
      <c r="B39" s="7" t="s">
        <v>17</v>
      </c>
      <c r="C39" s="8">
        <f>C29</f>
        <v>1957.5</v>
      </c>
      <c r="D39" s="6"/>
    </row>
    <row r="40" spans="2:35" x14ac:dyDescent="0.25">
      <c r="B40" s="7" t="s">
        <v>18</v>
      </c>
      <c r="C40" s="8"/>
      <c r="D40" s="6"/>
    </row>
    <row r="41" spans="2:35" x14ac:dyDescent="0.25">
      <c r="B41" s="7" t="s">
        <v>14</v>
      </c>
      <c r="C41" s="8">
        <f>C38-C39</f>
        <v>1440.7778119041959</v>
      </c>
      <c r="D41" s="6"/>
    </row>
    <row r="42" spans="2:35" x14ac:dyDescent="0.25">
      <c r="B42" s="7" t="s">
        <v>9</v>
      </c>
      <c r="C42" s="15">
        <f>(C41/C39)*100%</f>
        <v>0.73602953353981915</v>
      </c>
      <c r="D42" s="151" t="s">
        <v>198</v>
      </c>
      <c r="E42" s="152"/>
      <c r="F42" s="15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35" ht="15.75" thickBot="1" x14ac:dyDescent="0.3">
      <c r="E43" s="10"/>
    </row>
    <row r="44" spans="2:35" x14ac:dyDescent="0.25">
      <c r="B44" s="83" t="s">
        <v>190</v>
      </c>
      <c r="C44" s="88"/>
    </row>
    <row r="45" spans="2:35" x14ac:dyDescent="0.25">
      <c r="B45" s="42" t="s">
        <v>151</v>
      </c>
      <c r="C45" s="43" t="s">
        <v>193</v>
      </c>
    </row>
    <row r="46" spans="2:35" x14ac:dyDescent="0.25">
      <c r="B46" s="42" t="s">
        <v>152</v>
      </c>
      <c r="C46" s="43" t="s">
        <v>194</v>
      </c>
    </row>
    <row r="47" spans="2:35" x14ac:dyDescent="0.25">
      <c r="B47" s="44"/>
      <c r="C47" s="45"/>
    </row>
    <row r="48" spans="2:35" x14ac:dyDescent="0.25">
      <c r="B48" s="84" t="s">
        <v>192</v>
      </c>
      <c r="C48" s="85"/>
    </row>
    <row r="49" spans="2:3" x14ac:dyDescent="0.25">
      <c r="B49" s="42" t="s">
        <v>153</v>
      </c>
      <c r="C49" s="43" t="s">
        <v>221</v>
      </c>
    </row>
    <row r="50" spans="2:3" ht="15.75" thickBot="1" x14ac:dyDescent="0.3">
      <c r="B50" s="46" t="s">
        <v>154</v>
      </c>
      <c r="C50" s="47" t="s">
        <v>225</v>
      </c>
    </row>
  </sheetData>
  <mergeCells count="1">
    <mergeCell ref="D42:F42"/>
  </mergeCells>
  <phoneticPr fontId="6" type="noConversion"/>
  <pageMargins left="0.7" right="0.7" top="0.75" bottom="0.75" header="0.3" footer="0.3"/>
  <pageSetup paperSize="9" orientation="portrait" verticalDpi="0" r:id="rId1"/>
  <ignoredErrors>
    <ignoredError sqref="C19:AI19" formula="1"/>
  </ignoredErrors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R51"/>
  <sheetViews>
    <sheetView workbookViewId="0">
      <selection activeCell="J43" sqref="J43"/>
    </sheetView>
  </sheetViews>
  <sheetFormatPr defaultRowHeight="15" x14ac:dyDescent="0.25"/>
  <cols>
    <col min="1" max="1" width="17.28515625" bestFit="1" customWidth="1"/>
    <col min="2" max="2" width="85.7109375" customWidth="1"/>
    <col min="3" max="3" width="12.7109375" customWidth="1"/>
    <col min="4" max="4" width="16.7109375" customWidth="1"/>
    <col min="5" max="44" width="12.7109375" customWidth="1"/>
  </cols>
  <sheetData>
    <row r="1" spans="1:44" s="113" customFormat="1" x14ac:dyDescent="0.25">
      <c r="B1" s="112" t="s">
        <v>122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  <c r="O1" s="89" t="s">
        <v>237</v>
      </c>
      <c r="P1" s="89" t="s">
        <v>238</v>
      </c>
      <c r="Q1" s="89" t="s">
        <v>239</v>
      </c>
      <c r="R1" s="89" t="s">
        <v>240</v>
      </c>
      <c r="S1" s="89" t="s">
        <v>241</v>
      </c>
      <c r="T1" s="89" t="s">
        <v>242</v>
      </c>
      <c r="U1" s="89" t="s">
        <v>243</v>
      </c>
      <c r="V1" s="89" t="s">
        <v>244</v>
      </c>
      <c r="W1" s="89" t="s">
        <v>245</v>
      </c>
      <c r="X1" s="89" t="s">
        <v>246</v>
      </c>
      <c r="Y1" s="89" t="s">
        <v>247</v>
      </c>
      <c r="Z1" s="89" t="s">
        <v>248</v>
      </c>
      <c r="AA1" s="89" t="s">
        <v>249</v>
      </c>
      <c r="AB1" s="89" t="s">
        <v>250</v>
      </c>
      <c r="AC1" s="89" t="s">
        <v>251</v>
      </c>
      <c r="AD1" s="89" t="s">
        <v>252</v>
      </c>
      <c r="AE1" s="89" t="s">
        <v>253</v>
      </c>
      <c r="AF1" s="89" t="s">
        <v>254</v>
      </c>
      <c r="AG1" s="89" t="s">
        <v>255</v>
      </c>
      <c r="AH1" s="89" t="s">
        <v>256</v>
      </c>
      <c r="AI1" s="89" t="s">
        <v>257</v>
      </c>
      <c r="AJ1" s="89" t="s">
        <v>258</v>
      </c>
      <c r="AK1" s="89" t="s">
        <v>259</v>
      </c>
      <c r="AL1" s="89" t="s">
        <v>260</v>
      </c>
      <c r="AM1" s="89" t="s">
        <v>261</v>
      </c>
      <c r="AN1" s="89" t="s">
        <v>262</v>
      </c>
      <c r="AO1" s="89" t="s">
        <v>263</v>
      </c>
      <c r="AP1" s="89" t="s">
        <v>264</v>
      </c>
      <c r="AQ1" s="89" t="s">
        <v>265</v>
      </c>
      <c r="AR1" s="89" t="s">
        <v>266</v>
      </c>
    </row>
    <row r="2" spans="1:44" x14ac:dyDescent="0.25">
      <c r="B2" s="2" t="s">
        <v>123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x14ac:dyDescent="0.25">
      <c r="B3" s="6" t="s">
        <v>111</v>
      </c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x14ac:dyDescent="0.25">
      <c r="A4" t="s">
        <v>307</v>
      </c>
      <c r="B4">
        <v>-8686</v>
      </c>
      <c r="C4" s="3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x14ac:dyDescent="0.25">
      <c r="A5" t="s">
        <v>308</v>
      </c>
      <c r="B5" s="34">
        <v>4608</v>
      </c>
      <c r="C5" s="54"/>
      <c r="D5" s="54"/>
      <c r="E5" s="54"/>
      <c r="F5" s="54"/>
      <c r="G5" s="54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</row>
    <row r="6" spans="1:44" x14ac:dyDescent="0.25">
      <c r="A6" t="s">
        <v>286</v>
      </c>
      <c r="B6" s="2">
        <v>0.22</v>
      </c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x14ac:dyDescent="0.25">
      <c r="A7" t="s">
        <v>287</v>
      </c>
      <c r="B7" s="2">
        <v>0.8</v>
      </c>
      <c r="C7" s="3"/>
      <c r="D7" s="3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x14ac:dyDescent="0.25">
      <c r="B8" s="1"/>
      <c r="C8" s="82"/>
      <c r="D8" s="82"/>
      <c r="E8" s="82"/>
      <c r="F8" s="82"/>
      <c r="G8" s="82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x14ac:dyDescent="0.25">
      <c r="B9" s="28" t="s">
        <v>212</v>
      </c>
      <c r="C9" s="5">
        <f>$B5*$B7+$B4*$B6</f>
        <v>1775.48</v>
      </c>
      <c r="D9" s="5">
        <f t="shared" ref="D9:AP9" si="0">$B5*$B7+$B4*$B6</f>
        <v>1775.48</v>
      </c>
      <c r="E9" s="5">
        <f t="shared" si="0"/>
        <v>1775.48</v>
      </c>
      <c r="F9" s="5">
        <f t="shared" si="0"/>
        <v>1775.48</v>
      </c>
      <c r="G9" s="5">
        <f t="shared" si="0"/>
        <v>1775.48</v>
      </c>
      <c r="H9" s="5">
        <f t="shared" si="0"/>
        <v>1775.48</v>
      </c>
      <c r="I9" s="5">
        <f t="shared" si="0"/>
        <v>1775.48</v>
      </c>
      <c r="J9" s="5">
        <f t="shared" si="0"/>
        <v>1775.48</v>
      </c>
      <c r="K9" s="5">
        <f t="shared" si="0"/>
        <v>1775.48</v>
      </c>
      <c r="L9" s="5">
        <f t="shared" si="0"/>
        <v>1775.48</v>
      </c>
      <c r="M9" s="5">
        <f t="shared" si="0"/>
        <v>1775.48</v>
      </c>
      <c r="N9" s="5">
        <f t="shared" si="0"/>
        <v>1775.48</v>
      </c>
      <c r="O9" s="5">
        <f t="shared" si="0"/>
        <v>1775.48</v>
      </c>
      <c r="P9" s="5">
        <f t="shared" si="0"/>
        <v>1775.48</v>
      </c>
      <c r="Q9" s="5">
        <f t="shared" si="0"/>
        <v>1775.48</v>
      </c>
      <c r="R9" s="5">
        <f t="shared" si="0"/>
        <v>1775.48</v>
      </c>
      <c r="S9" s="5">
        <f t="shared" si="0"/>
        <v>1775.48</v>
      </c>
      <c r="T9" s="5">
        <f t="shared" si="0"/>
        <v>1775.48</v>
      </c>
      <c r="U9" s="5">
        <f t="shared" si="0"/>
        <v>1775.48</v>
      </c>
      <c r="V9" s="5">
        <f t="shared" si="0"/>
        <v>1775.48</v>
      </c>
      <c r="W9" s="5">
        <f t="shared" si="0"/>
        <v>1775.48</v>
      </c>
      <c r="X9" s="5">
        <f t="shared" si="0"/>
        <v>1775.48</v>
      </c>
      <c r="Y9" s="5">
        <f t="shared" si="0"/>
        <v>1775.48</v>
      </c>
      <c r="Z9" s="5">
        <f t="shared" si="0"/>
        <v>1775.48</v>
      </c>
      <c r="AA9" s="5">
        <f t="shared" si="0"/>
        <v>1775.48</v>
      </c>
      <c r="AB9" s="5">
        <f t="shared" si="0"/>
        <v>1775.48</v>
      </c>
      <c r="AC9" s="5">
        <f t="shared" si="0"/>
        <v>1775.48</v>
      </c>
      <c r="AD9" s="5">
        <f t="shared" si="0"/>
        <v>1775.48</v>
      </c>
      <c r="AE9" s="5">
        <f t="shared" si="0"/>
        <v>1775.48</v>
      </c>
      <c r="AF9" s="5">
        <f t="shared" si="0"/>
        <v>1775.48</v>
      </c>
      <c r="AG9" s="5">
        <f t="shared" si="0"/>
        <v>1775.48</v>
      </c>
      <c r="AH9" s="5">
        <f t="shared" si="0"/>
        <v>1775.48</v>
      </c>
      <c r="AI9" s="5">
        <f t="shared" si="0"/>
        <v>1775.48</v>
      </c>
      <c r="AJ9" s="5">
        <f t="shared" si="0"/>
        <v>1775.48</v>
      </c>
      <c r="AK9" s="5">
        <f t="shared" si="0"/>
        <v>1775.48</v>
      </c>
      <c r="AL9" s="5">
        <f t="shared" si="0"/>
        <v>1775.48</v>
      </c>
      <c r="AM9" s="5">
        <f t="shared" si="0"/>
        <v>1775.48</v>
      </c>
      <c r="AN9" s="5">
        <f t="shared" si="0"/>
        <v>1775.48</v>
      </c>
      <c r="AO9" s="5">
        <f t="shared" si="0"/>
        <v>1775.48</v>
      </c>
      <c r="AP9" s="5">
        <f t="shared" si="0"/>
        <v>1775.48</v>
      </c>
      <c r="AQ9" s="5"/>
      <c r="AR9" s="5"/>
    </row>
    <row r="10" spans="1:44" x14ac:dyDescent="0.25">
      <c r="B10" t="s">
        <v>69</v>
      </c>
      <c r="C10" s="6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x14ac:dyDescent="0.25">
      <c r="B11" t="s">
        <v>70</v>
      </c>
      <c r="C11" s="6"/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x14ac:dyDescent="0.25">
      <c r="B12" t="s">
        <v>46</v>
      </c>
      <c r="C12" s="6">
        <v>50</v>
      </c>
      <c r="D12" s="6">
        <v>50</v>
      </c>
      <c r="E12" s="6">
        <v>50</v>
      </c>
      <c r="F12" s="6">
        <v>50</v>
      </c>
      <c r="G12" s="6">
        <v>50</v>
      </c>
      <c r="H12" s="6">
        <v>50</v>
      </c>
      <c r="I12" s="6">
        <v>50</v>
      </c>
      <c r="J12" s="6">
        <v>50</v>
      </c>
      <c r="K12" s="6">
        <v>50</v>
      </c>
      <c r="L12" s="6">
        <v>50</v>
      </c>
      <c r="M12" s="6">
        <v>50</v>
      </c>
      <c r="N12" s="6">
        <v>50</v>
      </c>
      <c r="O12" s="6">
        <v>50</v>
      </c>
      <c r="P12" s="6">
        <v>50</v>
      </c>
      <c r="Q12" s="6">
        <v>50</v>
      </c>
      <c r="R12" s="6">
        <v>50</v>
      </c>
      <c r="S12" s="6">
        <v>50</v>
      </c>
      <c r="T12" s="6">
        <v>50</v>
      </c>
      <c r="U12" s="6">
        <v>50</v>
      </c>
      <c r="V12" s="6">
        <v>50</v>
      </c>
      <c r="W12" s="6">
        <v>50</v>
      </c>
      <c r="X12" s="6">
        <v>50</v>
      </c>
      <c r="Y12" s="6">
        <v>50</v>
      </c>
      <c r="Z12" s="6">
        <v>50</v>
      </c>
      <c r="AA12" s="6">
        <v>50</v>
      </c>
      <c r="AB12" s="6">
        <v>50</v>
      </c>
      <c r="AC12" s="6">
        <v>50</v>
      </c>
      <c r="AD12" s="6">
        <v>50</v>
      </c>
      <c r="AE12" s="6">
        <v>50</v>
      </c>
      <c r="AF12" s="6">
        <v>50</v>
      </c>
      <c r="AG12" s="6">
        <v>50</v>
      </c>
      <c r="AH12" s="6">
        <v>50</v>
      </c>
      <c r="AI12" s="6">
        <v>50</v>
      </c>
      <c r="AJ12" s="6">
        <v>50</v>
      </c>
      <c r="AK12" s="6">
        <v>50</v>
      </c>
      <c r="AL12" s="6">
        <v>50</v>
      </c>
      <c r="AM12" s="6">
        <v>50</v>
      </c>
      <c r="AN12" s="6">
        <v>50</v>
      </c>
      <c r="AO12" s="6">
        <v>50</v>
      </c>
      <c r="AP12" s="6">
        <v>50</v>
      </c>
      <c r="AQ12" s="6"/>
      <c r="AR12" s="5"/>
    </row>
    <row r="13" spans="1:44" x14ac:dyDescent="0.25">
      <c r="B13" t="s">
        <v>19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x14ac:dyDescent="0.25">
      <c r="B14" t="s">
        <v>21</v>
      </c>
      <c r="C14" s="6"/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x14ac:dyDescent="0.25">
      <c r="B15" s="1" t="s">
        <v>1</v>
      </c>
      <c r="C15" s="5">
        <f>C9-SUM(C10:C14)</f>
        <v>1725.48</v>
      </c>
      <c r="D15" s="5">
        <f>D9-SUM(D10:D14)</f>
        <v>1725.48</v>
      </c>
      <c r="E15" s="5">
        <f>E9-SUM(E10:E14)</f>
        <v>1725.48</v>
      </c>
      <c r="F15" s="5">
        <f>F9-SUM(F10:F14)</f>
        <v>1725.48</v>
      </c>
      <c r="G15" s="5">
        <f>G9-SUM(G10:G14)</f>
        <v>1725.48</v>
      </c>
      <c r="H15" s="5">
        <f t="shared" ref="H15:AP15" si="1">H9-SUM(H10:H14)</f>
        <v>1725.48</v>
      </c>
      <c r="I15" s="5">
        <f t="shared" si="1"/>
        <v>1725.48</v>
      </c>
      <c r="J15" s="5">
        <f t="shared" si="1"/>
        <v>1725.48</v>
      </c>
      <c r="K15" s="5">
        <f t="shared" si="1"/>
        <v>1725.48</v>
      </c>
      <c r="L15" s="5">
        <f t="shared" si="1"/>
        <v>1725.48</v>
      </c>
      <c r="M15" s="5">
        <f t="shared" si="1"/>
        <v>1725.48</v>
      </c>
      <c r="N15" s="5">
        <f t="shared" si="1"/>
        <v>1725.48</v>
      </c>
      <c r="O15" s="5">
        <f t="shared" si="1"/>
        <v>1725.48</v>
      </c>
      <c r="P15" s="5">
        <f t="shared" si="1"/>
        <v>1725.48</v>
      </c>
      <c r="Q15" s="5">
        <f t="shared" si="1"/>
        <v>1725.48</v>
      </c>
      <c r="R15" s="5">
        <f t="shared" si="1"/>
        <v>1725.48</v>
      </c>
      <c r="S15" s="5">
        <f t="shared" si="1"/>
        <v>1725.48</v>
      </c>
      <c r="T15" s="5">
        <f t="shared" si="1"/>
        <v>1725.48</v>
      </c>
      <c r="U15" s="5">
        <f t="shared" si="1"/>
        <v>1725.48</v>
      </c>
      <c r="V15" s="5">
        <f t="shared" si="1"/>
        <v>1725.48</v>
      </c>
      <c r="W15" s="5">
        <f t="shared" si="1"/>
        <v>1725.48</v>
      </c>
      <c r="X15" s="5">
        <f t="shared" si="1"/>
        <v>1725.48</v>
      </c>
      <c r="Y15" s="5">
        <f t="shared" si="1"/>
        <v>1725.48</v>
      </c>
      <c r="Z15" s="5">
        <f t="shared" si="1"/>
        <v>1725.48</v>
      </c>
      <c r="AA15" s="5">
        <f t="shared" si="1"/>
        <v>1725.48</v>
      </c>
      <c r="AB15" s="5">
        <f t="shared" si="1"/>
        <v>1725.48</v>
      </c>
      <c r="AC15" s="5">
        <f t="shared" si="1"/>
        <v>1725.48</v>
      </c>
      <c r="AD15" s="5">
        <f t="shared" si="1"/>
        <v>1725.48</v>
      </c>
      <c r="AE15" s="5">
        <f t="shared" si="1"/>
        <v>1725.48</v>
      </c>
      <c r="AF15" s="5">
        <f t="shared" si="1"/>
        <v>1725.48</v>
      </c>
      <c r="AG15" s="5">
        <f t="shared" si="1"/>
        <v>1725.48</v>
      </c>
      <c r="AH15" s="5">
        <f t="shared" si="1"/>
        <v>1725.48</v>
      </c>
      <c r="AI15" s="5">
        <f t="shared" si="1"/>
        <v>1725.48</v>
      </c>
      <c r="AJ15" s="5">
        <f t="shared" si="1"/>
        <v>1725.48</v>
      </c>
      <c r="AK15" s="5">
        <f t="shared" si="1"/>
        <v>1725.48</v>
      </c>
      <c r="AL15" s="5">
        <f t="shared" si="1"/>
        <v>1725.48</v>
      </c>
      <c r="AM15" s="5">
        <f t="shared" si="1"/>
        <v>1725.48</v>
      </c>
      <c r="AN15" s="5">
        <f t="shared" si="1"/>
        <v>1725.48</v>
      </c>
      <c r="AO15" s="5">
        <f t="shared" si="1"/>
        <v>1725.48</v>
      </c>
      <c r="AP15" s="5">
        <f t="shared" si="1"/>
        <v>1725.48</v>
      </c>
      <c r="AQ15" s="5"/>
      <c r="AR15" s="5"/>
    </row>
    <row r="16" spans="1:44" ht="30" x14ac:dyDescent="0.25">
      <c r="B16" s="55" t="s">
        <v>16</v>
      </c>
      <c r="C16" s="6">
        <f>$C30/15</f>
        <v>3333.3333333333335</v>
      </c>
      <c r="D16" s="6">
        <f t="shared" ref="D16:Q16" si="2">$C30/15</f>
        <v>3333.3333333333335</v>
      </c>
      <c r="E16" s="6">
        <f t="shared" si="2"/>
        <v>3333.3333333333335</v>
      </c>
      <c r="F16" s="6">
        <f t="shared" si="2"/>
        <v>3333.3333333333335</v>
      </c>
      <c r="G16" s="6">
        <f t="shared" si="2"/>
        <v>3333.3333333333335</v>
      </c>
      <c r="H16" s="6">
        <f t="shared" si="2"/>
        <v>3333.3333333333335</v>
      </c>
      <c r="I16" s="6">
        <f t="shared" si="2"/>
        <v>3333.3333333333335</v>
      </c>
      <c r="J16" s="6">
        <f t="shared" si="2"/>
        <v>3333.3333333333335</v>
      </c>
      <c r="K16" s="6">
        <f t="shared" si="2"/>
        <v>3333.3333333333335</v>
      </c>
      <c r="L16" s="6">
        <f t="shared" si="2"/>
        <v>3333.3333333333335</v>
      </c>
      <c r="M16" s="6">
        <f t="shared" si="2"/>
        <v>3333.3333333333335</v>
      </c>
      <c r="N16" s="6">
        <f t="shared" si="2"/>
        <v>3333.3333333333335</v>
      </c>
      <c r="O16" s="6">
        <f t="shared" si="2"/>
        <v>3333.3333333333335</v>
      </c>
      <c r="P16" s="6">
        <f t="shared" si="2"/>
        <v>3333.3333333333335</v>
      </c>
      <c r="Q16" s="6">
        <f t="shared" si="2"/>
        <v>3333.3333333333335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/>
      <c r="AR16" s="5"/>
    </row>
    <row r="17" spans="2:44" x14ac:dyDescent="0.25">
      <c r="B17" s="1" t="s">
        <v>2</v>
      </c>
      <c r="C17" s="5">
        <f t="shared" ref="C17:AP17" si="3">C15-C16</f>
        <v>-1607.8533333333335</v>
      </c>
      <c r="D17" s="5">
        <f t="shared" si="3"/>
        <v>-1607.8533333333335</v>
      </c>
      <c r="E17" s="5">
        <f t="shared" si="3"/>
        <v>-1607.8533333333335</v>
      </c>
      <c r="F17" s="5">
        <f t="shared" si="3"/>
        <v>-1607.8533333333335</v>
      </c>
      <c r="G17" s="5">
        <f t="shared" si="3"/>
        <v>-1607.8533333333335</v>
      </c>
      <c r="H17" s="5">
        <f t="shared" si="3"/>
        <v>-1607.8533333333335</v>
      </c>
      <c r="I17" s="5">
        <f t="shared" si="3"/>
        <v>-1607.8533333333335</v>
      </c>
      <c r="J17" s="5">
        <f t="shared" si="3"/>
        <v>-1607.8533333333335</v>
      </c>
      <c r="K17" s="5">
        <f t="shared" si="3"/>
        <v>-1607.8533333333335</v>
      </c>
      <c r="L17" s="5">
        <f t="shared" si="3"/>
        <v>-1607.8533333333335</v>
      </c>
      <c r="M17" s="5">
        <f t="shared" si="3"/>
        <v>-1607.8533333333335</v>
      </c>
      <c r="N17" s="5">
        <f t="shared" si="3"/>
        <v>-1607.8533333333335</v>
      </c>
      <c r="O17" s="5">
        <f t="shared" si="3"/>
        <v>-1607.8533333333335</v>
      </c>
      <c r="P17" s="5">
        <f t="shared" si="3"/>
        <v>-1607.8533333333335</v>
      </c>
      <c r="Q17" s="5">
        <f t="shared" si="3"/>
        <v>-1607.8533333333335</v>
      </c>
      <c r="R17" s="5">
        <f t="shared" si="3"/>
        <v>1725.48</v>
      </c>
      <c r="S17" s="5">
        <f t="shared" si="3"/>
        <v>1725.48</v>
      </c>
      <c r="T17" s="5">
        <f t="shared" si="3"/>
        <v>1725.48</v>
      </c>
      <c r="U17" s="5">
        <f t="shared" si="3"/>
        <v>1725.48</v>
      </c>
      <c r="V17" s="5">
        <f t="shared" si="3"/>
        <v>1725.48</v>
      </c>
      <c r="W17" s="5">
        <f t="shared" si="3"/>
        <v>1725.48</v>
      </c>
      <c r="X17" s="5">
        <f t="shared" si="3"/>
        <v>1725.48</v>
      </c>
      <c r="Y17" s="5">
        <f t="shared" si="3"/>
        <v>1725.48</v>
      </c>
      <c r="Z17" s="5">
        <f t="shared" si="3"/>
        <v>1725.48</v>
      </c>
      <c r="AA17" s="5">
        <f t="shared" si="3"/>
        <v>1725.48</v>
      </c>
      <c r="AB17" s="5">
        <f t="shared" si="3"/>
        <v>1725.48</v>
      </c>
      <c r="AC17" s="5">
        <f t="shared" si="3"/>
        <v>1725.48</v>
      </c>
      <c r="AD17" s="5">
        <f t="shared" si="3"/>
        <v>1725.48</v>
      </c>
      <c r="AE17" s="5">
        <f t="shared" si="3"/>
        <v>1725.48</v>
      </c>
      <c r="AF17" s="5">
        <f t="shared" si="3"/>
        <v>1725.48</v>
      </c>
      <c r="AG17" s="5">
        <f t="shared" si="3"/>
        <v>1725.48</v>
      </c>
      <c r="AH17" s="5">
        <f t="shared" si="3"/>
        <v>1725.48</v>
      </c>
      <c r="AI17" s="5">
        <f t="shared" si="3"/>
        <v>1725.48</v>
      </c>
      <c r="AJ17" s="5">
        <f t="shared" si="3"/>
        <v>1725.48</v>
      </c>
      <c r="AK17" s="5">
        <f t="shared" si="3"/>
        <v>1725.48</v>
      </c>
      <c r="AL17" s="5">
        <f t="shared" si="3"/>
        <v>1725.48</v>
      </c>
      <c r="AM17" s="5">
        <f t="shared" si="3"/>
        <v>1725.48</v>
      </c>
      <c r="AN17" s="5">
        <f t="shared" si="3"/>
        <v>1725.48</v>
      </c>
      <c r="AO17" s="5">
        <f t="shared" si="3"/>
        <v>1725.48</v>
      </c>
      <c r="AP17" s="5">
        <f t="shared" si="3"/>
        <v>1725.48</v>
      </c>
      <c r="AQ17" s="5"/>
      <c r="AR17" s="5"/>
    </row>
    <row r="18" spans="2:44" x14ac:dyDescent="0.25">
      <c r="B18" t="s">
        <v>23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5"/>
      <c r="AR18" s="5"/>
    </row>
    <row r="19" spans="2:44" x14ac:dyDescent="0.25">
      <c r="B19" s="1" t="s">
        <v>3</v>
      </c>
      <c r="C19" s="5">
        <f t="shared" ref="C19:AP19" si="4">C17-C18</f>
        <v>-1607.8533333333335</v>
      </c>
      <c r="D19" s="5">
        <f t="shared" si="4"/>
        <v>-1607.8533333333335</v>
      </c>
      <c r="E19" s="5">
        <f t="shared" si="4"/>
        <v>-1607.8533333333335</v>
      </c>
      <c r="F19" s="5">
        <f t="shared" si="4"/>
        <v>-1607.8533333333335</v>
      </c>
      <c r="G19" s="5">
        <f t="shared" si="4"/>
        <v>-1607.8533333333335</v>
      </c>
      <c r="H19" s="5">
        <f t="shared" si="4"/>
        <v>-1607.8533333333335</v>
      </c>
      <c r="I19" s="5">
        <f t="shared" si="4"/>
        <v>-1607.8533333333335</v>
      </c>
      <c r="J19" s="5">
        <f t="shared" si="4"/>
        <v>-1607.8533333333335</v>
      </c>
      <c r="K19" s="5">
        <f t="shared" si="4"/>
        <v>-1607.8533333333335</v>
      </c>
      <c r="L19" s="5">
        <f t="shared" si="4"/>
        <v>-1607.8533333333335</v>
      </c>
      <c r="M19" s="5">
        <f t="shared" si="4"/>
        <v>-1607.8533333333335</v>
      </c>
      <c r="N19" s="5">
        <f t="shared" si="4"/>
        <v>-1607.8533333333335</v>
      </c>
      <c r="O19" s="5">
        <f t="shared" si="4"/>
        <v>-1607.8533333333335</v>
      </c>
      <c r="P19" s="5">
        <f t="shared" si="4"/>
        <v>-1607.8533333333335</v>
      </c>
      <c r="Q19" s="5">
        <f t="shared" si="4"/>
        <v>-1607.8533333333335</v>
      </c>
      <c r="R19" s="5">
        <f t="shared" si="4"/>
        <v>1725.48</v>
      </c>
      <c r="S19" s="5">
        <f t="shared" si="4"/>
        <v>1725.48</v>
      </c>
      <c r="T19" s="5">
        <f t="shared" si="4"/>
        <v>1725.48</v>
      </c>
      <c r="U19" s="5">
        <f t="shared" si="4"/>
        <v>1725.48</v>
      </c>
      <c r="V19" s="5">
        <f t="shared" si="4"/>
        <v>1725.48</v>
      </c>
      <c r="W19" s="5">
        <f t="shared" si="4"/>
        <v>1725.48</v>
      </c>
      <c r="X19" s="5">
        <f t="shared" si="4"/>
        <v>1725.48</v>
      </c>
      <c r="Y19" s="5">
        <f t="shared" si="4"/>
        <v>1725.48</v>
      </c>
      <c r="Z19" s="5">
        <f t="shared" si="4"/>
        <v>1725.48</v>
      </c>
      <c r="AA19" s="5">
        <f t="shared" si="4"/>
        <v>1725.48</v>
      </c>
      <c r="AB19" s="5">
        <f t="shared" si="4"/>
        <v>1725.48</v>
      </c>
      <c r="AC19" s="5">
        <f t="shared" si="4"/>
        <v>1725.48</v>
      </c>
      <c r="AD19" s="5">
        <f t="shared" si="4"/>
        <v>1725.48</v>
      </c>
      <c r="AE19" s="5">
        <f t="shared" si="4"/>
        <v>1725.48</v>
      </c>
      <c r="AF19" s="5">
        <f t="shared" si="4"/>
        <v>1725.48</v>
      </c>
      <c r="AG19" s="5">
        <f t="shared" si="4"/>
        <v>1725.48</v>
      </c>
      <c r="AH19" s="5">
        <f t="shared" si="4"/>
        <v>1725.48</v>
      </c>
      <c r="AI19" s="5">
        <f t="shared" si="4"/>
        <v>1725.48</v>
      </c>
      <c r="AJ19" s="5">
        <f t="shared" si="4"/>
        <v>1725.48</v>
      </c>
      <c r="AK19" s="5">
        <f t="shared" si="4"/>
        <v>1725.48</v>
      </c>
      <c r="AL19" s="5">
        <f t="shared" si="4"/>
        <v>1725.48</v>
      </c>
      <c r="AM19" s="5">
        <f t="shared" si="4"/>
        <v>1725.48</v>
      </c>
      <c r="AN19" s="5">
        <f t="shared" si="4"/>
        <v>1725.48</v>
      </c>
      <c r="AO19" s="5">
        <f t="shared" si="4"/>
        <v>1725.48</v>
      </c>
      <c r="AP19" s="5">
        <f t="shared" si="4"/>
        <v>1725.48</v>
      </c>
      <c r="AQ19" s="5"/>
      <c r="AR19" s="5"/>
    </row>
    <row r="20" spans="2:44" x14ac:dyDescent="0.25">
      <c r="B20" t="s">
        <v>20</v>
      </c>
      <c r="C20" s="6">
        <f t="shared" ref="C20:AP20" si="5">0.25*C19</f>
        <v>-401.96333333333337</v>
      </c>
      <c r="D20" s="6">
        <f t="shared" si="5"/>
        <v>-401.96333333333337</v>
      </c>
      <c r="E20" s="6">
        <f t="shared" si="5"/>
        <v>-401.96333333333337</v>
      </c>
      <c r="F20" s="6">
        <f t="shared" si="5"/>
        <v>-401.96333333333337</v>
      </c>
      <c r="G20" s="6">
        <f t="shared" si="5"/>
        <v>-401.96333333333337</v>
      </c>
      <c r="H20" s="6">
        <f t="shared" si="5"/>
        <v>-401.96333333333337</v>
      </c>
      <c r="I20" s="6">
        <f t="shared" si="5"/>
        <v>-401.96333333333337</v>
      </c>
      <c r="J20" s="6">
        <f t="shared" si="5"/>
        <v>-401.96333333333337</v>
      </c>
      <c r="K20" s="6">
        <f t="shared" si="5"/>
        <v>-401.96333333333337</v>
      </c>
      <c r="L20" s="6">
        <f t="shared" si="5"/>
        <v>-401.96333333333337</v>
      </c>
      <c r="M20" s="6">
        <f t="shared" si="5"/>
        <v>-401.96333333333337</v>
      </c>
      <c r="N20" s="6">
        <f t="shared" si="5"/>
        <v>-401.96333333333337</v>
      </c>
      <c r="O20" s="6">
        <f t="shared" si="5"/>
        <v>-401.96333333333337</v>
      </c>
      <c r="P20" s="6">
        <f t="shared" si="5"/>
        <v>-401.96333333333337</v>
      </c>
      <c r="Q20" s="6">
        <f t="shared" si="5"/>
        <v>-401.96333333333337</v>
      </c>
      <c r="R20" s="6">
        <f t="shared" si="5"/>
        <v>431.37</v>
      </c>
      <c r="S20" s="6">
        <f t="shared" si="5"/>
        <v>431.37</v>
      </c>
      <c r="T20" s="6">
        <f t="shared" si="5"/>
        <v>431.37</v>
      </c>
      <c r="U20" s="6">
        <f t="shared" si="5"/>
        <v>431.37</v>
      </c>
      <c r="V20" s="6">
        <f t="shared" si="5"/>
        <v>431.37</v>
      </c>
      <c r="W20" s="6">
        <f t="shared" si="5"/>
        <v>431.37</v>
      </c>
      <c r="X20" s="6">
        <f t="shared" si="5"/>
        <v>431.37</v>
      </c>
      <c r="Y20" s="6">
        <f t="shared" si="5"/>
        <v>431.37</v>
      </c>
      <c r="Z20" s="6">
        <f t="shared" si="5"/>
        <v>431.37</v>
      </c>
      <c r="AA20" s="6">
        <f t="shared" si="5"/>
        <v>431.37</v>
      </c>
      <c r="AB20" s="6">
        <f t="shared" si="5"/>
        <v>431.37</v>
      </c>
      <c r="AC20" s="6">
        <f t="shared" si="5"/>
        <v>431.37</v>
      </c>
      <c r="AD20" s="6">
        <f t="shared" si="5"/>
        <v>431.37</v>
      </c>
      <c r="AE20" s="6">
        <f t="shared" si="5"/>
        <v>431.37</v>
      </c>
      <c r="AF20" s="6">
        <f t="shared" si="5"/>
        <v>431.37</v>
      </c>
      <c r="AG20" s="6">
        <f t="shared" si="5"/>
        <v>431.37</v>
      </c>
      <c r="AH20" s="6">
        <f t="shared" si="5"/>
        <v>431.37</v>
      </c>
      <c r="AI20" s="6">
        <f t="shared" si="5"/>
        <v>431.37</v>
      </c>
      <c r="AJ20" s="6">
        <f t="shared" si="5"/>
        <v>431.37</v>
      </c>
      <c r="AK20" s="6">
        <f t="shared" si="5"/>
        <v>431.37</v>
      </c>
      <c r="AL20" s="6">
        <f t="shared" si="5"/>
        <v>431.37</v>
      </c>
      <c r="AM20" s="6">
        <f t="shared" si="5"/>
        <v>431.37</v>
      </c>
      <c r="AN20" s="6">
        <f t="shared" si="5"/>
        <v>431.37</v>
      </c>
      <c r="AO20" s="6">
        <f t="shared" si="5"/>
        <v>431.37</v>
      </c>
      <c r="AP20" s="6">
        <f t="shared" si="5"/>
        <v>431.37</v>
      </c>
      <c r="AQ20" s="6"/>
      <c r="AR20" s="5"/>
    </row>
    <row r="21" spans="2:44" x14ac:dyDescent="0.25">
      <c r="B21" s="1" t="s">
        <v>4</v>
      </c>
      <c r="C21" s="5">
        <f t="shared" ref="C21:AP21" si="6">C19-C20</f>
        <v>-1205.8900000000001</v>
      </c>
      <c r="D21" s="5">
        <f t="shared" si="6"/>
        <v>-1205.8900000000001</v>
      </c>
      <c r="E21" s="5">
        <f t="shared" si="6"/>
        <v>-1205.8900000000001</v>
      </c>
      <c r="F21" s="5">
        <f t="shared" si="6"/>
        <v>-1205.8900000000001</v>
      </c>
      <c r="G21" s="5">
        <f t="shared" si="6"/>
        <v>-1205.8900000000001</v>
      </c>
      <c r="H21" s="5">
        <f t="shared" si="6"/>
        <v>-1205.8900000000001</v>
      </c>
      <c r="I21" s="5">
        <f t="shared" si="6"/>
        <v>-1205.8900000000001</v>
      </c>
      <c r="J21" s="5">
        <f t="shared" si="6"/>
        <v>-1205.8900000000001</v>
      </c>
      <c r="K21" s="5">
        <f t="shared" si="6"/>
        <v>-1205.8900000000001</v>
      </c>
      <c r="L21" s="5">
        <f t="shared" si="6"/>
        <v>-1205.8900000000001</v>
      </c>
      <c r="M21" s="5">
        <f t="shared" si="6"/>
        <v>-1205.8900000000001</v>
      </c>
      <c r="N21" s="5">
        <f t="shared" si="6"/>
        <v>-1205.8900000000001</v>
      </c>
      <c r="O21" s="5">
        <f t="shared" si="6"/>
        <v>-1205.8900000000001</v>
      </c>
      <c r="P21" s="5">
        <f t="shared" si="6"/>
        <v>-1205.8900000000001</v>
      </c>
      <c r="Q21" s="5">
        <f t="shared" si="6"/>
        <v>-1205.8900000000001</v>
      </c>
      <c r="R21" s="5">
        <f t="shared" si="6"/>
        <v>1294.1100000000001</v>
      </c>
      <c r="S21" s="5">
        <f t="shared" si="6"/>
        <v>1294.1100000000001</v>
      </c>
      <c r="T21" s="5">
        <f t="shared" si="6"/>
        <v>1294.1100000000001</v>
      </c>
      <c r="U21" s="5">
        <f t="shared" si="6"/>
        <v>1294.1100000000001</v>
      </c>
      <c r="V21" s="5">
        <f t="shared" si="6"/>
        <v>1294.1100000000001</v>
      </c>
      <c r="W21" s="5">
        <f t="shared" si="6"/>
        <v>1294.1100000000001</v>
      </c>
      <c r="X21" s="5">
        <f t="shared" si="6"/>
        <v>1294.1100000000001</v>
      </c>
      <c r="Y21" s="5">
        <f t="shared" si="6"/>
        <v>1294.1100000000001</v>
      </c>
      <c r="Z21" s="5">
        <f t="shared" si="6"/>
        <v>1294.1100000000001</v>
      </c>
      <c r="AA21" s="5">
        <f t="shared" si="6"/>
        <v>1294.1100000000001</v>
      </c>
      <c r="AB21" s="5">
        <f t="shared" si="6"/>
        <v>1294.1100000000001</v>
      </c>
      <c r="AC21" s="5">
        <f t="shared" si="6"/>
        <v>1294.1100000000001</v>
      </c>
      <c r="AD21" s="5">
        <f t="shared" si="6"/>
        <v>1294.1100000000001</v>
      </c>
      <c r="AE21" s="5">
        <f t="shared" si="6"/>
        <v>1294.1100000000001</v>
      </c>
      <c r="AF21" s="5">
        <f t="shared" si="6"/>
        <v>1294.1100000000001</v>
      </c>
      <c r="AG21" s="5">
        <f t="shared" si="6"/>
        <v>1294.1100000000001</v>
      </c>
      <c r="AH21" s="5">
        <f t="shared" si="6"/>
        <v>1294.1100000000001</v>
      </c>
      <c r="AI21" s="5">
        <f t="shared" si="6"/>
        <v>1294.1100000000001</v>
      </c>
      <c r="AJ21" s="5">
        <f t="shared" si="6"/>
        <v>1294.1100000000001</v>
      </c>
      <c r="AK21" s="5">
        <f t="shared" si="6"/>
        <v>1294.1100000000001</v>
      </c>
      <c r="AL21" s="5">
        <f t="shared" si="6"/>
        <v>1294.1100000000001</v>
      </c>
      <c r="AM21" s="5">
        <f t="shared" si="6"/>
        <v>1294.1100000000001</v>
      </c>
      <c r="AN21" s="5">
        <f t="shared" si="6"/>
        <v>1294.1100000000001</v>
      </c>
      <c r="AO21" s="5">
        <f t="shared" si="6"/>
        <v>1294.1100000000001</v>
      </c>
      <c r="AP21" s="5">
        <f t="shared" si="6"/>
        <v>1294.1100000000001</v>
      </c>
      <c r="AQ21" s="5"/>
      <c r="AR21" s="5"/>
    </row>
    <row r="22" spans="2:44" x14ac:dyDescent="0.25">
      <c r="B22" s="2" t="s">
        <v>24</v>
      </c>
      <c r="C22" s="6">
        <f>C16</f>
        <v>3333.3333333333335</v>
      </c>
      <c r="D22" s="6">
        <f>D16</f>
        <v>3333.3333333333335</v>
      </c>
      <c r="E22" s="6">
        <f>E16</f>
        <v>3333.3333333333335</v>
      </c>
      <c r="F22" s="6">
        <f>F16</f>
        <v>3333.3333333333335</v>
      </c>
      <c r="G22" s="6">
        <f>G16</f>
        <v>3333.3333333333335</v>
      </c>
      <c r="H22" s="6">
        <f t="shared" ref="H22:AP22" si="7">H16</f>
        <v>3333.3333333333335</v>
      </c>
      <c r="I22" s="6">
        <f t="shared" si="7"/>
        <v>3333.3333333333335</v>
      </c>
      <c r="J22" s="6">
        <f t="shared" si="7"/>
        <v>3333.3333333333335</v>
      </c>
      <c r="K22" s="6">
        <f t="shared" si="7"/>
        <v>3333.3333333333335</v>
      </c>
      <c r="L22" s="6">
        <f t="shared" si="7"/>
        <v>3333.3333333333335</v>
      </c>
      <c r="M22" s="6">
        <f t="shared" si="7"/>
        <v>3333.3333333333335</v>
      </c>
      <c r="N22" s="6">
        <f t="shared" si="7"/>
        <v>3333.3333333333335</v>
      </c>
      <c r="O22" s="6">
        <f t="shared" si="7"/>
        <v>3333.3333333333335</v>
      </c>
      <c r="P22" s="6">
        <f t="shared" si="7"/>
        <v>3333.3333333333335</v>
      </c>
      <c r="Q22" s="6">
        <f t="shared" si="7"/>
        <v>3333.3333333333335</v>
      </c>
      <c r="R22" s="6">
        <f t="shared" si="7"/>
        <v>0</v>
      </c>
      <c r="S22" s="6">
        <f t="shared" si="7"/>
        <v>0</v>
      </c>
      <c r="T22" s="6">
        <f t="shared" si="7"/>
        <v>0</v>
      </c>
      <c r="U22" s="6">
        <f t="shared" si="7"/>
        <v>0</v>
      </c>
      <c r="V22" s="6">
        <f t="shared" si="7"/>
        <v>0</v>
      </c>
      <c r="W22" s="6">
        <f t="shared" si="7"/>
        <v>0</v>
      </c>
      <c r="X22" s="6">
        <f t="shared" si="7"/>
        <v>0</v>
      </c>
      <c r="Y22" s="6">
        <f t="shared" si="7"/>
        <v>0</v>
      </c>
      <c r="Z22" s="6">
        <f t="shared" si="7"/>
        <v>0</v>
      </c>
      <c r="AA22" s="6">
        <f t="shared" si="7"/>
        <v>0</v>
      </c>
      <c r="AB22" s="6">
        <f t="shared" si="7"/>
        <v>0</v>
      </c>
      <c r="AC22" s="6">
        <f t="shared" si="7"/>
        <v>0</v>
      </c>
      <c r="AD22" s="6">
        <f t="shared" si="7"/>
        <v>0</v>
      </c>
      <c r="AE22" s="6">
        <f t="shared" si="7"/>
        <v>0</v>
      </c>
      <c r="AF22" s="6">
        <f t="shared" si="7"/>
        <v>0</v>
      </c>
      <c r="AG22" s="6">
        <f t="shared" si="7"/>
        <v>0</v>
      </c>
      <c r="AH22" s="6">
        <f t="shared" si="7"/>
        <v>0</v>
      </c>
      <c r="AI22" s="6">
        <f t="shared" si="7"/>
        <v>0</v>
      </c>
      <c r="AJ22" s="6">
        <f t="shared" si="7"/>
        <v>0</v>
      </c>
      <c r="AK22" s="6">
        <f t="shared" si="7"/>
        <v>0</v>
      </c>
      <c r="AL22" s="6">
        <f t="shared" si="7"/>
        <v>0</v>
      </c>
      <c r="AM22" s="6">
        <f t="shared" si="7"/>
        <v>0</v>
      </c>
      <c r="AN22" s="6">
        <f t="shared" si="7"/>
        <v>0</v>
      </c>
      <c r="AO22" s="6">
        <f t="shared" si="7"/>
        <v>0</v>
      </c>
      <c r="AP22" s="6">
        <f t="shared" si="7"/>
        <v>0</v>
      </c>
      <c r="AQ22" s="6"/>
      <c r="AR22" s="5"/>
    </row>
    <row r="23" spans="2:44" x14ac:dyDescent="0.25">
      <c r="B23" s="2" t="s">
        <v>45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/>
      <c r="S23" s="6"/>
      <c r="T23" s="6"/>
      <c r="U23" s="6"/>
      <c r="V23" s="6"/>
      <c r="W23" s="6"/>
      <c r="X23" s="6"/>
      <c r="Y23" s="6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2:44" ht="30" x14ac:dyDescent="0.25">
      <c r="B24" s="56" t="s">
        <v>114</v>
      </c>
      <c r="C24" s="6">
        <v>2600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2:44" x14ac:dyDescent="0.25">
      <c r="B25" s="2" t="s">
        <v>33</v>
      </c>
      <c r="C25" s="6">
        <f>C30*0.5</f>
        <v>25000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2:44" x14ac:dyDescent="0.25">
      <c r="B26" s="1" t="s">
        <v>5</v>
      </c>
      <c r="C26" s="5">
        <f t="shared" ref="C26:H26" si="8">C21+SUM(C22:C25)</f>
        <v>29727.443333333336</v>
      </c>
      <c r="D26" s="5">
        <f t="shared" si="8"/>
        <v>2127.4433333333336</v>
      </c>
      <c r="E26" s="5">
        <f t="shared" si="8"/>
        <v>2127.4433333333336</v>
      </c>
      <c r="F26" s="5">
        <f t="shared" si="8"/>
        <v>2127.4433333333336</v>
      </c>
      <c r="G26" s="5">
        <f t="shared" si="8"/>
        <v>2127.4433333333336</v>
      </c>
      <c r="H26" s="5">
        <f t="shared" si="8"/>
        <v>2127.4433333333336</v>
      </c>
      <c r="I26" s="5">
        <f t="shared" ref="I26:AP26" si="9">I21+SUM(I22:I25)</f>
        <v>2127.4433333333336</v>
      </c>
      <c r="J26" s="5">
        <f t="shared" si="9"/>
        <v>2127.4433333333336</v>
      </c>
      <c r="K26" s="5">
        <f t="shared" si="9"/>
        <v>2127.4433333333336</v>
      </c>
      <c r="L26" s="5">
        <f t="shared" si="9"/>
        <v>2127.4433333333336</v>
      </c>
      <c r="M26" s="5">
        <f t="shared" si="9"/>
        <v>2127.4433333333336</v>
      </c>
      <c r="N26" s="5">
        <f t="shared" si="9"/>
        <v>2127.4433333333336</v>
      </c>
      <c r="O26" s="5">
        <f t="shared" si="9"/>
        <v>2127.4433333333336</v>
      </c>
      <c r="P26" s="5">
        <f t="shared" si="9"/>
        <v>2127.4433333333336</v>
      </c>
      <c r="Q26" s="5">
        <f t="shared" si="9"/>
        <v>2127.4433333333336</v>
      </c>
      <c r="R26" s="5">
        <f t="shared" si="9"/>
        <v>1294.1100000000001</v>
      </c>
      <c r="S26" s="5">
        <f t="shared" si="9"/>
        <v>1294.1100000000001</v>
      </c>
      <c r="T26" s="5">
        <f t="shared" si="9"/>
        <v>1294.1100000000001</v>
      </c>
      <c r="U26" s="5">
        <f t="shared" si="9"/>
        <v>1294.1100000000001</v>
      </c>
      <c r="V26" s="5">
        <f t="shared" si="9"/>
        <v>1294.1100000000001</v>
      </c>
      <c r="W26" s="5">
        <f t="shared" si="9"/>
        <v>1294.1100000000001</v>
      </c>
      <c r="X26" s="5">
        <f t="shared" si="9"/>
        <v>1294.1100000000001</v>
      </c>
      <c r="Y26" s="5">
        <f t="shared" si="9"/>
        <v>1294.1100000000001</v>
      </c>
      <c r="Z26" s="5">
        <f t="shared" si="9"/>
        <v>1294.1100000000001</v>
      </c>
      <c r="AA26" s="5">
        <f t="shared" si="9"/>
        <v>1294.1100000000001</v>
      </c>
      <c r="AB26" s="5">
        <f t="shared" si="9"/>
        <v>1294.1100000000001</v>
      </c>
      <c r="AC26" s="5">
        <f t="shared" si="9"/>
        <v>1294.1100000000001</v>
      </c>
      <c r="AD26" s="5">
        <f t="shared" si="9"/>
        <v>1294.1100000000001</v>
      </c>
      <c r="AE26" s="5">
        <f t="shared" si="9"/>
        <v>1294.1100000000001</v>
      </c>
      <c r="AF26" s="5">
        <f t="shared" si="9"/>
        <v>1294.1100000000001</v>
      </c>
      <c r="AG26" s="5">
        <f t="shared" si="9"/>
        <v>1294.1100000000001</v>
      </c>
      <c r="AH26" s="5">
        <f t="shared" si="9"/>
        <v>1294.1100000000001</v>
      </c>
      <c r="AI26" s="5">
        <f t="shared" si="9"/>
        <v>1294.1100000000001</v>
      </c>
      <c r="AJ26" s="5">
        <f t="shared" si="9"/>
        <v>1294.1100000000001</v>
      </c>
      <c r="AK26" s="5">
        <f t="shared" si="9"/>
        <v>1294.1100000000001</v>
      </c>
      <c r="AL26" s="5">
        <f t="shared" si="9"/>
        <v>1294.1100000000001</v>
      </c>
      <c r="AM26" s="5">
        <f t="shared" si="9"/>
        <v>1294.1100000000001</v>
      </c>
      <c r="AN26" s="5">
        <f t="shared" si="9"/>
        <v>1294.1100000000001</v>
      </c>
      <c r="AO26" s="5">
        <f t="shared" si="9"/>
        <v>1294.1100000000001</v>
      </c>
      <c r="AP26" s="5">
        <f t="shared" si="9"/>
        <v>1294.1100000000001</v>
      </c>
      <c r="AQ26" s="5"/>
      <c r="AR26" s="5"/>
    </row>
    <row r="27" spans="2:44" x14ac:dyDescent="0.25"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2:44" s="113" customFormat="1" x14ac:dyDescent="0.25">
      <c r="B28" s="114" t="s">
        <v>27</v>
      </c>
      <c r="C28" s="114"/>
      <c r="D28" s="114" t="s">
        <v>44</v>
      </c>
      <c r="E28" s="90" t="s">
        <v>0</v>
      </c>
      <c r="F28" s="90" t="s">
        <v>226</v>
      </c>
      <c r="G28" s="90" t="s">
        <v>227</v>
      </c>
      <c r="H28" s="90" t="s">
        <v>228</v>
      </c>
      <c r="I28" s="90" t="s">
        <v>229</v>
      </c>
      <c r="J28" s="90" t="s">
        <v>230</v>
      </c>
      <c r="K28" s="90" t="s">
        <v>231</v>
      </c>
      <c r="L28" s="90" t="s">
        <v>232</v>
      </c>
      <c r="M28" s="90" t="s">
        <v>233</v>
      </c>
      <c r="N28" s="90" t="s">
        <v>234</v>
      </c>
      <c r="O28" s="90" t="s">
        <v>235</v>
      </c>
      <c r="P28" s="90" t="s">
        <v>236</v>
      </c>
      <c r="Q28" s="90" t="s">
        <v>237</v>
      </c>
      <c r="R28" s="90" t="s">
        <v>238</v>
      </c>
      <c r="S28" s="90" t="s">
        <v>239</v>
      </c>
      <c r="T28" s="90" t="s">
        <v>240</v>
      </c>
      <c r="U28" s="90" t="s">
        <v>241</v>
      </c>
      <c r="V28" s="90" t="s">
        <v>242</v>
      </c>
      <c r="W28" s="90" t="s">
        <v>243</v>
      </c>
      <c r="X28" s="90" t="s">
        <v>244</v>
      </c>
      <c r="Y28" s="90" t="s">
        <v>245</v>
      </c>
      <c r="Z28" s="90" t="s">
        <v>246</v>
      </c>
      <c r="AA28" s="90" t="s">
        <v>247</v>
      </c>
      <c r="AB28" s="90" t="s">
        <v>248</v>
      </c>
      <c r="AC28" s="90" t="s">
        <v>249</v>
      </c>
      <c r="AD28" s="90" t="s">
        <v>250</v>
      </c>
      <c r="AE28" s="90" t="s">
        <v>251</v>
      </c>
      <c r="AF28" s="90" t="s">
        <v>252</v>
      </c>
      <c r="AG28" s="90" t="s">
        <v>253</v>
      </c>
      <c r="AH28" s="90" t="s">
        <v>254</v>
      </c>
      <c r="AI28" s="90" t="s">
        <v>255</v>
      </c>
      <c r="AJ28" s="90" t="s">
        <v>256</v>
      </c>
      <c r="AK28" s="90" t="s">
        <v>257</v>
      </c>
      <c r="AL28" s="90" t="s">
        <v>258</v>
      </c>
      <c r="AM28" s="90" t="s">
        <v>259</v>
      </c>
      <c r="AN28" s="90" t="s">
        <v>260</v>
      </c>
      <c r="AO28" s="90" t="s">
        <v>261</v>
      </c>
      <c r="AP28" s="90" t="s">
        <v>262</v>
      </c>
      <c r="AQ28" s="90" t="s">
        <v>263</v>
      </c>
      <c r="AR28" s="90" t="s">
        <v>264</v>
      </c>
    </row>
    <row r="29" spans="2:44" x14ac:dyDescent="0.25">
      <c r="B29" s="7" t="s">
        <v>7</v>
      </c>
      <c r="C29" s="8">
        <f>SUM(C26:AP26)</f>
        <v>91864.400000000052</v>
      </c>
      <c r="D29" s="6" t="s">
        <v>29</v>
      </c>
      <c r="E29" s="10">
        <f>C26-C30</f>
        <v>-20272.556666666664</v>
      </c>
      <c r="F29" s="10">
        <f>E29+D26</f>
        <v>-18145.113333333331</v>
      </c>
      <c r="G29" s="10">
        <f t="shared" ref="G29:AR29" si="10">F29+E26</f>
        <v>-16017.669999999998</v>
      </c>
      <c r="H29" s="10">
        <f t="shared" si="10"/>
        <v>-13890.226666666666</v>
      </c>
      <c r="I29" s="10">
        <f t="shared" si="10"/>
        <v>-11762.783333333333</v>
      </c>
      <c r="J29" s="10">
        <f t="shared" si="10"/>
        <v>-9635.34</v>
      </c>
      <c r="K29" s="10">
        <f t="shared" si="10"/>
        <v>-7507.8966666666665</v>
      </c>
      <c r="L29" s="10">
        <f t="shared" si="10"/>
        <v>-5380.4533333333329</v>
      </c>
      <c r="M29" s="10">
        <f t="shared" si="10"/>
        <v>-3253.0099999999993</v>
      </c>
      <c r="N29" s="10">
        <f t="shared" si="10"/>
        <v>-1125.5666666666657</v>
      </c>
      <c r="O29" s="10">
        <f t="shared" si="10"/>
        <v>1001.8766666666679</v>
      </c>
      <c r="P29" s="10">
        <f t="shared" si="10"/>
        <v>3129.3200000000015</v>
      </c>
      <c r="Q29" s="10">
        <f t="shared" si="10"/>
        <v>5256.7633333333351</v>
      </c>
      <c r="R29" s="10">
        <f t="shared" si="10"/>
        <v>7384.2066666666688</v>
      </c>
      <c r="S29" s="10">
        <f t="shared" si="10"/>
        <v>9511.6500000000015</v>
      </c>
      <c r="T29" s="10">
        <f t="shared" si="10"/>
        <v>10805.760000000002</v>
      </c>
      <c r="U29" s="10">
        <f t="shared" si="10"/>
        <v>12099.870000000003</v>
      </c>
      <c r="V29" s="10">
        <f t="shared" si="10"/>
        <v>13393.980000000003</v>
      </c>
      <c r="W29" s="10">
        <f t="shared" si="10"/>
        <v>14688.090000000004</v>
      </c>
      <c r="X29" s="10">
        <f t="shared" si="10"/>
        <v>15982.200000000004</v>
      </c>
      <c r="Y29" s="10">
        <f t="shared" si="10"/>
        <v>17276.310000000005</v>
      </c>
      <c r="Z29" s="10">
        <f t="shared" si="10"/>
        <v>18570.420000000006</v>
      </c>
      <c r="AA29" s="10">
        <f t="shared" si="10"/>
        <v>19864.530000000006</v>
      </c>
      <c r="AB29" s="10">
        <f t="shared" si="10"/>
        <v>21158.640000000007</v>
      </c>
      <c r="AC29" s="10">
        <f t="shared" si="10"/>
        <v>22452.750000000007</v>
      </c>
      <c r="AD29" s="10">
        <f t="shared" si="10"/>
        <v>23746.860000000008</v>
      </c>
      <c r="AE29" s="10">
        <f t="shared" si="10"/>
        <v>25040.970000000008</v>
      </c>
      <c r="AF29" s="10">
        <f t="shared" si="10"/>
        <v>26335.080000000009</v>
      </c>
      <c r="AG29" s="10">
        <f t="shared" si="10"/>
        <v>27629.19000000001</v>
      </c>
      <c r="AH29" s="10">
        <f t="shared" si="10"/>
        <v>28923.30000000001</v>
      </c>
      <c r="AI29" s="10">
        <f t="shared" si="10"/>
        <v>30217.410000000011</v>
      </c>
      <c r="AJ29" s="10">
        <f t="shared" si="10"/>
        <v>31511.520000000011</v>
      </c>
      <c r="AK29" s="10">
        <f t="shared" si="10"/>
        <v>32805.630000000012</v>
      </c>
      <c r="AL29" s="10">
        <f t="shared" si="10"/>
        <v>34099.740000000013</v>
      </c>
      <c r="AM29" s="10">
        <f t="shared" si="10"/>
        <v>35393.850000000013</v>
      </c>
      <c r="AN29" s="10">
        <f t="shared" si="10"/>
        <v>36687.960000000014</v>
      </c>
      <c r="AO29" s="10">
        <f t="shared" si="10"/>
        <v>37982.070000000014</v>
      </c>
      <c r="AP29" s="10">
        <f t="shared" si="10"/>
        <v>39276.180000000015</v>
      </c>
      <c r="AQ29" s="10">
        <f t="shared" si="10"/>
        <v>40570.290000000015</v>
      </c>
      <c r="AR29" s="10">
        <f t="shared" si="10"/>
        <v>41864.400000000016</v>
      </c>
    </row>
    <row r="30" spans="2:44" ht="30" x14ac:dyDescent="0.25">
      <c r="B30" s="60" t="s">
        <v>71</v>
      </c>
      <c r="C30" s="8">
        <v>50000</v>
      </c>
      <c r="D30" s="5"/>
      <c r="G30" t="s">
        <v>334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44" x14ac:dyDescent="0.25">
      <c r="B31" s="7" t="s">
        <v>18</v>
      </c>
      <c r="C31" s="8"/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44" x14ac:dyDescent="0.25">
      <c r="B32" s="7" t="s">
        <v>8</v>
      </c>
      <c r="C32" s="8">
        <f>C29-C30</f>
        <v>41864.400000000052</v>
      </c>
      <c r="D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44" x14ac:dyDescent="0.25">
      <c r="B33" s="29" t="s">
        <v>10</v>
      </c>
      <c r="C33" s="15">
        <f>C32/C30*100%</f>
        <v>0.83728800000000103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44" x14ac:dyDescent="0.25">
      <c r="B34" s="19"/>
      <c r="C34" s="20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44" x14ac:dyDescent="0.25">
      <c r="B35" t="s">
        <v>31</v>
      </c>
      <c r="C35" s="4">
        <v>0.05</v>
      </c>
      <c r="D35" s="6"/>
      <c r="E35" s="6"/>
    </row>
    <row r="36" spans="2:44" x14ac:dyDescent="0.25">
      <c r="B36" s="1" t="s">
        <v>6</v>
      </c>
      <c r="C36" s="5">
        <f>C26/(1+$C35)</f>
        <v>28311.850793650796</v>
      </c>
      <c r="D36" s="5">
        <f>D26/(1+$C35)^2</f>
        <v>1929.6538170823887</v>
      </c>
      <c r="E36" s="5">
        <f>E26/(1+$C35)^3</f>
        <v>1837.7655400784654</v>
      </c>
      <c r="F36" s="5">
        <f>F26/(1+$C35)^4</f>
        <v>1750.2528953128242</v>
      </c>
      <c r="G36" s="5">
        <f>G26/(1+$C35)^5</f>
        <v>1666.9075193455467</v>
      </c>
      <c r="H36" s="5">
        <f>H26/(1+$C35)^6</f>
        <v>1587.5309708052828</v>
      </c>
      <c r="I36" s="5">
        <f>I26/(1+$C35)^7</f>
        <v>1511.9342579097929</v>
      </c>
      <c r="J36" s="5">
        <f>J26/(1+$C35)^8</f>
        <v>1439.9373884855172</v>
      </c>
      <c r="K36" s="5">
        <f>K26/(1+$C35)^9</f>
        <v>1371.3689414147782</v>
      </c>
      <c r="L36" s="5">
        <f>L26/(1+$C35)^10</f>
        <v>1306.0656584902649</v>
      </c>
      <c r="M36" s="5">
        <f>M26/(1+$C35)^11</f>
        <v>1243.8720557050142</v>
      </c>
      <c r="N36" s="5">
        <f>N26/(1+$C35)^12</f>
        <v>1184.6400530523947</v>
      </c>
      <c r="O36" s="5">
        <f>O26/(1+$C35)^13</f>
        <v>1128.2286219546613</v>
      </c>
      <c r="P36" s="5">
        <f>P26/(1+$C35)^14</f>
        <v>1074.50344948063</v>
      </c>
      <c r="Q36" s="5">
        <f>Q26/(1+$C35)^15</f>
        <v>1023.3366185529807</v>
      </c>
      <c r="R36" s="5">
        <f>R26/(1+$C35)^16</f>
        <v>592.84670172429105</v>
      </c>
      <c r="S36" s="5">
        <f>S26/(1+$C35)^17</f>
        <v>564.61590640408656</v>
      </c>
      <c r="T36" s="5">
        <f>T26/(1+$C35)^18</f>
        <v>537.7294346705587</v>
      </c>
      <c r="U36" s="5">
        <f>U26/(1+$C35)^19</f>
        <v>512.12327111481773</v>
      </c>
      <c r="V36" s="5">
        <f>V26/(1+$C35)^20</f>
        <v>487.73644868077884</v>
      </c>
      <c r="W36" s="5">
        <f>W26/(1+$C35)^21</f>
        <v>464.51090350550368</v>
      </c>
      <c r="X36" s="5">
        <f>X26/(1+$C35)^22</f>
        <v>442.39133667190828</v>
      </c>
      <c r="Y36" s="5">
        <f>Y26/(1+$C35)^23</f>
        <v>421.3250825446745</v>
      </c>
      <c r="Z36" s="5">
        <f>Z26/(1+$C35)^24</f>
        <v>401.2619833758805</v>
      </c>
      <c r="AA36" s="5">
        <f>AA26/(1+$C35)^25</f>
        <v>382.15426988179092</v>
      </c>
      <c r="AB36" s="5">
        <f>AB26/(1+$C35)^26</f>
        <v>363.95644750646755</v>
      </c>
      <c r="AC36" s="5">
        <f>AC26/(1+$C35)^27</f>
        <v>346.62518810139767</v>
      </c>
      <c r="AD36" s="5">
        <f>AD26/(1+$C35)^28</f>
        <v>330.11922676323587</v>
      </c>
      <c r="AE36" s="5">
        <f>AE26/(1+$C35)^29</f>
        <v>314.39926358403414</v>
      </c>
      <c r="AF36" s="5">
        <f>AF26/(1+$C35)^30</f>
        <v>299.42787008003262</v>
      </c>
      <c r="AG36" s="5">
        <f>AG26/(1+$C35)^31</f>
        <v>285.16940007622145</v>
      </c>
      <c r="AH36" s="5">
        <f>AH26/(1+$C35)^32</f>
        <v>271.58990483449662</v>
      </c>
      <c r="AI36" s="5">
        <f>AI26/(1+$C35)^33</f>
        <v>258.65705222333008</v>
      </c>
      <c r="AJ36" s="5">
        <f>AJ26/(1+$C35)^34</f>
        <v>246.34004973650488</v>
      </c>
      <c r="AK36" s="5">
        <f>AK26/(1+$C35)^35</f>
        <v>234.60957117762365</v>
      </c>
      <c r="AL36" s="5">
        <f>AL26/(1+$C35)^36</f>
        <v>223.43768683583207</v>
      </c>
      <c r="AM36" s="5">
        <f>AM26/(1+$C35)^37</f>
        <v>212.79779698650671</v>
      </c>
      <c r="AN36" s="5">
        <f>AN26/(1+$C35)^38</f>
        <v>202.66456855857786</v>
      </c>
      <c r="AO36" s="5">
        <f>AO26/(1+$C35)^39</f>
        <v>193.01387481769316</v>
      </c>
      <c r="AP36" s="5">
        <f>AP26/(1+$C35)^40</f>
        <v>183.82273792161257</v>
      </c>
      <c r="AQ36" s="5">
        <f>AQ26/(1+$C35)^41</f>
        <v>0</v>
      </c>
    </row>
    <row r="37" spans="2:44" x14ac:dyDescent="0.25">
      <c r="B37" s="1"/>
      <c r="C37" s="5"/>
      <c r="D37" s="5"/>
      <c r="E37" s="5"/>
      <c r="F37" s="5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44" s="113" customFormat="1" x14ac:dyDescent="0.25">
      <c r="B38" s="123" t="s">
        <v>28</v>
      </c>
      <c r="C38" s="126"/>
      <c r="D38" s="127" t="s">
        <v>44</v>
      </c>
      <c r="E38" s="91" t="s">
        <v>0</v>
      </c>
      <c r="F38" s="91" t="s">
        <v>226</v>
      </c>
      <c r="G38" s="91" t="s">
        <v>227</v>
      </c>
      <c r="H38" s="91" t="s">
        <v>228</v>
      </c>
      <c r="I38" s="91" t="s">
        <v>229</v>
      </c>
      <c r="J38" s="91" t="s">
        <v>230</v>
      </c>
      <c r="K38" s="91" t="s">
        <v>231</v>
      </c>
      <c r="L38" s="91" t="s">
        <v>232</v>
      </c>
      <c r="M38" s="91" t="s">
        <v>233</v>
      </c>
      <c r="N38" s="91" t="s">
        <v>234</v>
      </c>
      <c r="O38" s="91" t="s">
        <v>235</v>
      </c>
      <c r="P38" s="91" t="s">
        <v>236</v>
      </c>
      <c r="Q38" s="91" t="s">
        <v>237</v>
      </c>
      <c r="R38" s="91" t="s">
        <v>238</v>
      </c>
      <c r="S38" s="91" t="s">
        <v>239</v>
      </c>
      <c r="T38" s="91" t="s">
        <v>240</v>
      </c>
      <c r="U38" s="91" t="s">
        <v>241</v>
      </c>
      <c r="V38" s="91" t="s">
        <v>242</v>
      </c>
      <c r="W38" s="91" t="s">
        <v>243</v>
      </c>
      <c r="X38" s="91" t="s">
        <v>244</v>
      </c>
      <c r="Y38" s="91" t="s">
        <v>245</v>
      </c>
      <c r="Z38" s="91" t="s">
        <v>246</v>
      </c>
      <c r="AA38" s="91" t="s">
        <v>247</v>
      </c>
      <c r="AB38" s="91" t="s">
        <v>248</v>
      </c>
      <c r="AC38" s="91" t="s">
        <v>249</v>
      </c>
      <c r="AD38" s="91" t="s">
        <v>250</v>
      </c>
      <c r="AE38" s="91" t="s">
        <v>251</v>
      </c>
      <c r="AF38" s="91" t="s">
        <v>252</v>
      </c>
      <c r="AG38" s="91" t="s">
        <v>253</v>
      </c>
      <c r="AH38" s="91" t="s">
        <v>254</v>
      </c>
      <c r="AI38" s="91" t="s">
        <v>255</v>
      </c>
      <c r="AJ38" s="91" t="s">
        <v>256</v>
      </c>
      <c r="AK38" s="91" t="s">
        <v>257</v>
      </c>
      <c r="AL38" s="91" t="s">
        <v>258</v>
      </c>
      <c r="AM38" s="91" t="s">
        <v>259</v>
      </c>
      <c r="AN38" s="91" t="s">
        <v>260</v>
      </c>
      <c r="AO38" s="91" t="s">
        <v>261</v>
      </c>
      <c r="AP38" s="91" t="s">
        <v>262</v>
      </c>
      <c r="AQ38" s="91" t="s">
        <v>263</v>
      </c>
      <c r="AR38" s="91" t="s">
        <v>264</v>
      </c>
    </row>
    <row r="39" spans="2:44" x14ac:dyDescent="0.25">
      <c r="B39" s="7" t="s">
        <v>15</v>
      </c>
      <c r="C39" s="8">
        <f>SUM(C36:AP36)</f>
        <v>57141.174559099192</v>
      </c>
      <c r="D39" s="6" t="s">
        <v>30</v>
      </c>
      <c r="E39" s="10">
        <f>C36-C40</f>
        <v>-21688.149206349204</v>
      </c>
      <c r="F39" s="10">
        <f>E39+D36</f>
        <v>-19758.495389266816</v>
      </c>
      <c r="G39" s="10">
        <f t="shared" ref="G39:AR39" si="11">F39+E36</f>
        <v>-17920.729849188352</v>
      </c>
      <c r="H39" s="10">
        <f t="shared" si="11"/>
        <v>-16170.476953875528</v>
      </c>
      <c r="I39" s="10">
        <f t="shared" si="11"/>
        <v>-14503.569434529982</v>
      </c>
      <c r="J39" s="10">
        <f t="shared" si="11"/>
        <v>-12916.038463724699</v>
      </c>
      <c r="K39" s="10">
        <f t="shared" si="11"/>
        <v>-11404.104205814907</v>
      </c>
      <c r="L39" s="10">
        <f t="shared" si="11"/>
        <v>-9964.1668173293892</v>
      </c>
      <c r="M39" s="10">
        <f t="shared" si="11"/>
        <v>-8592.7978759146117</v>
      </c>
      <c r="N39" s="10">
        <f t="shared" si="11"/>
        <v>-7286.7322174243473</v>
      </c>
      <c r="O39" s="10">
        <f t="shared" si="11"/>
        <v>-6042.8601617193326</v>
      </c>
      <c r="P39" s="10">
        <f t="shared" si="11"/>
        <v>-4858.2201086669374</v>
      </c>
      <c r="Q39" s="10">
        <f t="shared" si="11"/>
        <v>-3729.9914867122761</v>
      </c>
      <c r="R39" s="10">
        <f t="shared" si="11"/>
        <v>-2655.4880372316461</v>
      </c>
      <c r="S39" s="10">
        <f t="shared" si="11"/>
        <v>-1632.1514186786653</v>
      </c>
      <c r="T39" s="10">
        <f t="shared" si="11"/>
        <v>-1039.3047169543743</v>
      </c>
      <c r="U39" s="10">
        <f t="shared" si="11"/>
        <v>-474.68881055028771</v>
      </c>
      <c r="V39" s="10">
        <f t="shared" si="11"/>
        <v>63.040624120270991</v>
      </c>
      <c r="W39" s="10">
        <f t="shared" si="11"/>
        <v>575.16389523508872</v>
      </c>
      <c r="X39" s="10">
        <f t="shared" si="11"/>
        <v>1062.9003439158676</v>
      </c>
      <c r="Y39" s="10">
        <f t="shared" si="11"/>
        <v>1527.4112474213712</v>
      </c>
      <c r="Z39" s="10">
        <f t="shared" si="11"/>
        <v>1969.8025840932794</v>
      </c>
      <c r="AA39" s="10">
        <f t="shared" si="11"/>
        <v>2391.127666637954</v>
      </c>
      <c r="AB39" s="10">
        <f t="shared" si="11"/>
        <v>2792.3896500138344</v>
      </c>
      <c r="AC39" s="10">
        <f t="shared" si="11"/>
        <v>3174.5439198956255</v>
      </c>
      <c r="AD39" s="10">
        <f t="shared" si="11"/>
        <v>3538.5003674020932</v>
      </c>
      <c r="AE39" s="10">
        <f t="shared" si="11"/>
        <v>3885.1255555034909</v>
      </c>
      <c r="AF39" s="10">
        <f t="shared" si="11"/>
        <v>4215.2447822667264</v>
      </c>
      <c r="AG39" s="10">
        <f t="shared" si="11"/>
        <v>4529.6440458507604</v>
      </c>
      <c r="AH39" s="10">
        <f t="shared" si="11"/>
        <v>4829.0719159307928</v>
      </c>
      <c r="AI39" s="10">
        <f t="shared" si="11"/>
        <v>5114.2413160070146</v>
      </c>
      <c r="AJ39" s="10">
        <f t="shared" si="11"/>
        <v>5385.8312208415109</v>
      </c>
      <c r="AK39" s="10">
        <f t="shared" si="11"/>
        <v>5644.4882730648405</v>
      </c>
      <c r="AL39" s="10">
        <f t="shared" si="11"/>
        <v>5890.8283228013452</v>
      </c>
      <c r="AM39" s="10">
        <f t="shared" si="11"/>
        <v>6125.4378939789685</v>
      </c>
      <c r="AN39" s="10">
        <f t="shared" si="11"/>
        <v>6348.8755808148007</v>
      </c>
      <c r="AO39" s="10">
        <f t="shared" si="11"/>
        <v>6561.6733778013077</v>
      </c>
      <c r="AP39" s="10">
        <f t="shared" si="11"/>
        <v>6764.3379463598858</v>
      </c>
      <c r="AQ39" s="10">
        <f t="shared" si="11"/>
        <v>6957.351821177579</v>
      </c>
      <c r="AR39" s="10">
        <f t="shared" si="11"/>
        <v>7141.1745590991914</v>
      </c>
    </row>
    <row r="40" spans="2:44" x14ac:dyDescent="0.25">
      <c r="B40" s="7" t="s">
        <v>17</v>
      </c>
      <c r="C40" s="8">
        <f>C30</f>
        <v>50000</v>
      </c>
      <c r="D40" s="6"/>
      <c r="G40" t="s">
        <v>335</v>
      </c>
    </row>
    <row r="41" spans="2:44" x14ac:dyDescent="0.25">
      <c r="B41" s="7" t="s">
        <v>18</v>
      </c>
      <c r="C41" s="8"/>
      <c r="D41" s="6"/>
    </row>
    <row r="42" spans="2:44" x14ac:dyDescent="0.25">
      <c r="B42" s="7" t="s">
        <v>14</v>
      </c>
      <c r="C42" s="8">
        <f>C39-C40</f>
        <v>7141.1745590991923</v>
      </c>
      <c r="D42" s="6"/>
    </row>
    <row r="43" spans="2:44" x14ac:dyDescent="0.25">
      <c r="B43" s="29" t="s">
        <v>9</v>
      </c>
      <c r="C43" s="15">
        <f>(C42/C40)*100%</f>
        <v>0.14282349118198384</v>
      </c>
      <c r="D43" s="5" t="s">
        <v>275</v>
      </c>
      <c r="E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44" ht="15.75" thickBot="1" x14ac:dyDescent="0.3"/>
    <row r="45" spans="2:44" x14ac:dyDescent="0.25">
      <c r="B45" s="83" t="s">
        <v>155</v>
      </c>
      <c r="C45" s="88"/>
    </row>
    <row r="46" spans="2:44" x14ac:dyDescent="0.25">
      <c r="B46" s="42" t="s">
        <v>151</v>
      </c>
      <c r="C46" s="43" t="s">
        <v>269</v>
      </c>
    </row>
    <row r="47" spans="2:44" x14ac:dyDescent="0.25">
      <c r="B47" s="42" t="s">
        <v>152</v>
      </c>
      <c r="C47" s="43" t="s">
        <v>157</v>
      </c>
    </row>
    <row r="48" spans="2:44" x14ac:dyDescent="0.25">
      <c r="B48" s="42"/>
      <c r="C48" s="45"/>
    </row>
    <row r="49" spans="2:3" x14ac:dyDescent="0.25">
      <c r="B49" s="84" t="s">
        <v>156</v>
      </c>
      <c r="C49" s="108"/>
    </row>
    <row r="50" spans="2:3" x14ac:dyDescent="0.25">
      <c r="B50" s="42" t="s">
        <v>153</v>
      </c>
      <c r="C50" s="43" t="s">
        <v>220</v>
      </c>
    </row>
    <row r="51" spans="2:3" ht="15.75" thickBot="1" x14ac:dyDescent="0.3">
      <c r="B51" s="46" t="s">
        <v>154</v>
      </c>
      <c r="C51" s="47" t="s">
        <v>194</v>
      </c>
    </row>
  </sheetData>
  <phoneticPr fontId="6" type="noConversion"/>
  <pageMargins left="0.7" right="0.7" top="0.75" bottom="0.75" header="0.3" footer="0.3"/>
  <ignoredErrors>
    <ignoredError sqref="C20:AP20" formula="1"/>
  </ignoredErrors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27"/>
  <sheetViews>
    <sheetView workbookViewId="0">
      <selection activeCell="C8" sqref="C8"/>
    </sheetView>
  </sheetViews>
  <sheetFormatPr defaultRowHeight="15" x14ac:dyDescent="0.25"/>
  <cols>
    <col min="1" max="1" width="98.7109375" customWidth="1"/>
    <col min="2" max="2" width="14.7109375" customWidth="1"/>
    <col min="3" max="3" width="20.85546875" customWidth="1"/>
    <col min="4" max="4" width="24.7109375" customWidth="1"/>
    <col min="5" max="5" width="76.7109375" customWidth="1"/>
    <col min="6" max="6" width="106.85546875" customWidth="1"/>
  </cols>
  <sheetData>
    <row r="1" spans="1:6" x14ac:dyDescent="0.25">
      <c r="A1" s="75" t="s">
        <v>289</v>
      </c>
      <c r="E1" t="s">
        <v>13</v>
      </c>
    </row>
    <row r="2" spans="1:6" x14ac:dyDescent="0.25">
      <c r="A2" s="74" t="s">
        <v>332</v>
      </c>
    </row>
    <row r="4" spans="1:6" ht="45" x14ac:dyDescent="0.25">
      <c r="A4" t="s">
        <v>91</v>
      </c>
      <c r="B4" s="24" t="s">
        <v>11</v>
      </c>
      <c r="C4" s="105" t="s">
        <v>288</v>
      </c>
      <c r="D4" s="105" t="s">
        <v>12</v>
      </c>
    </row>
    <row r="5" spans="1:6" x14ac:dyDescent="0.25">
      <c r="B5" s="13"/>
    </row>
    <row r="6" spans="1:6" x14ac:dyDescent="0.25">
      <c r="A6" t="s">
        <v>86</v>
      </c>
      <c r="B6" s="97">
        <f>'BC WP-WW-BEO-WKO'!C43</f>
        <v>0.14282349118198384</v>
      </c>
      <c r="C6" s="86"/>
      <c r="D6" s="86"/>
      <c r="E6" t="s">
        <v>81</v>
      </c>
    </row>
    <row r="7" spans="1:6" x14ac:dyDescent="0.25">
      <c r="B7" s="97"/>
      <c r="C7" s="86"/>
      <c r="D7" s="86"/>
    </row>
    <row r="8" spans="1:6" ht="30" x14ac:dyDescent="0.25">
      <c r="A8" t="s">
        <v>87</v>
      </c>
      <c r="B8" s="86"/>
      <c r="C8" s="86">
        <f>'BC WP-WW-BEO-WKO'!B4*0.6</f>
        <v>-5211.5999999999995</v>
      </c>
      <c r="D8" s="86"/>
      <c r="E8" s="103" t="s">
        <v>73</v>
      </c>
    </row>
    <row r="9" spans="1:6" ht="30" x14ac:dyDescent="0.25">
      <c r="A9" t="s">
        <v>88</v>
      </c>
      <c r="B9" s="86"/>
      <c r="C9" s="86">
        <f>'BC WP-WW-BEO-WKO'!B5*1.9</f>
        <v>8755.1999999999989</v>
      </c>
      <c r="D9" s="86"/>
      <c r="E9" s="55" t="s">
        <v>76</v>
      </c>
    </row>
    <row r="10" spans="1:6" x14ac:dyDescent="0.25">
      <c r="A10" t="s">
        <v>89</v>
      </c>
      <c r="B10" s="86"/>
      <c r="C10" s="86">
        <f>C8+C9</f>
        <v>3543.5999999999995</v>
      </c>
      <c r="D10" s="86"/>
      <c r="E10" s="55"/>
    </row>
    <row r="11" spans="1:6" x14ac:dyDescent="0.25">
      <c r="B11" s="86"/>
      <c r="C11" s="86"/>
      <c r="D11" s="86"/>
      <c r="E11" s="55"/>
    </row>
    <row r="12" spans="1:6" ht="30" x14ac:dyDescent="0.25">
      <c r="A12" t="s">
        <v>90</v>
      </c>
      <c r="B12" s="86"/>
      <c r="C12" s="86"/>
      <c r="D12" s="86" t="s">
        <v>113</v>
      </c>
      <c r="E12" s="55" t="s">
        <v>75</v>
      </c>
      <c r="F12" s="2" t="s">
        <v>159</v>
      </c>
    </row>
    <row r="13" spans="1:6" x14ac:dyDescent="0.25">
      <c r="B13" s="86"/>
      <c r="C13" s="86"/>
      <c r="D13" s="86"/>
      <c r="E13" t="s">
        <v>83</v>
      </c>
      <c r="F13" s="116" t="s">
        <v>109</v>
      </c>
    </row>
    <row r="14" spans="1:6" x14ac:dyDescent="0.25">
      <c r="B14" s="86"/>
      <c r="C14" s="98"/>
      <c r="D14" s="86"/>
      <c r="F14" s="25" t="s">
        <v>112</v>
      </c>
    </row>
    <row r="15" spans="1:6" x14ac:dyDescent="0.25">
      <c r="A15" t="s">
        <v>187</v>
      </c>
      <c r="B15" s="86">
        <v>3</v>
      </c>
      <c r="C15" s="86">
        <v>2</v>
      </c>
      <c r="D15" s="86">
        <v>4</v>
      </c>
      <c r="E15" t="s">
        <v>132</v>
      </c>
      <c r="F15" s="117" t="s">
        <v>94</v>
      </c>
    </row>
    <row r="16" spans="1:6" x14ac:dyDescent="0.25">
      <c r="B16" s="86"/>
      <c r="C16" s="26"/>
      <c r="D16" s="86"/>
      <c r="E16" t="s">
        <v>82</v>
      </c>
      <c r="F16" s="117" t="s">
        <v>291</v>
      </c>
    </row>
    <row r="17" spans="1:6" x14ac:dyDescent="0.25">
      <c r="B17" s="86"/>
      <c r="C17" s="26"/>
      <c r="D17" s="86"/>
      <c r="F17" s="16" t="s">
        <v>95</v>
      </c>
    </row>
    <row r="18" spans="1:6" x14ac:dyDescent="0.25">
      <c r="A18" t="s">
        <v>85</v>
      </c>
      <c r="B18" s="99">
        <v>0.6</v>
      </c>
      <c r="C18" s="99">
        <v>0.1</v>
      </c>
      <c r="D18" s="99">
        <v>0.3</v>
      </c>
      <c r="E18" s="2" t="s">
        <v>84</v>
      </c>
      <c r="F18" s="48" t="s">
        <v>74</v>
      </c>
    </row>
    <row r="19" spans="1:6" ht="18.75" x14ac:dyDescent="0.3">
      <c r="B19" s="99"/>
      <c r="C19" s="99"/>
      <c r="D19" s="99"/>
      <c r="E19" s="14"/>
      <c r="F19" s="16" t="s">
        <v>96</v>
      </c>
    </row>
    <row r="20" spans="1:6" x14ac:dyDescent="0.25">
      <c r="A20" s="111" t="s">
        <v>141</v>
      </c>
      <c r="B20" s="115">
        <f>B15*B18+C15*C18+D15*D18</f>
        <v>3.1999999999999997</v>
      </c>
      <c r="C20" s="86"/>
      <c r="D20" s="86"/>
      <c r="E20" t="s">
        <v>317</v>
      </c>
      <c r="F20" s="16" t="s">
        <v>97</v>
      </c>
    </row>
    <row r="21" spans="1:6" x14ac:dyDescent="0.25">
      <c r="F21" s="48" t="s">
        <v>99</v>
      </c>
    </row>
    <row r="22" spans="1:6" x14ac:dyDescent="0.25">
      <c r="F22" s="116" t="s">
        <v>310</v>
      </c>
    </row>
    <row r="23" spans="1:6" x14ac:dyDescent="0.25">
      <c r="F23" s="48" t="s">
        <v>320</v>
      </c>
    </row>
    <row r="24" spans="1:6" x14ac:dyDescent="0.25">
      <c r="F24" s="48" t="s">
        <v>101</v>
      </c>
    </row>
    <row r="25" spans="1:6" x14ac:dyDescent="0.25">
      <c r="F25" s="48" t="s">
        <v>293</v>
      </c>
    </row>
    <row r="26" spans="1:6" x14ac:dyDescent="0.25">
      <c r="F26" s="48" t="s">
        <v>321</v>
      </c>
    </row>
    <row r="27" spans="1:6" x14ac:dyDescent="0.25">
      <c r="F27" s="48" t="s">
        <v>102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7"/>
  <sheetViews>
    <sheetView workbookViewId="0">
      <selection activeCell="C8" sqref="C8"/>
    </sheetView>
  </sheetViews>
  <sheetFormatPr defaultRowHeight="15" x14ac:dyDescent="0.25"/>
  <cols>
    <col min="1" max="1" width="98.7109375" customWidth="1"/>
    <col min="2" max="2" width="14.7109375" customWidth="1"/>
    <col min="3" max="3" width="20.7109375" customWidth="1"/>
    <col min="4" max="4" width="24.7109375" customWidth="1"/>
    <col min="5" max="5" width="80.7109375" customWidth="1"/>
    <col min="6" max="6" width="48.140625" customWidth="1"/>
  </cols>
  <sheetData>
    <row r="1" spans="1:15" x14ac:dyDescent="0.25">
      <c r="A1" s="75" t="s">
        <v>289</v>
      </c>
      <c r="E1" t="s">
        <v>13</v>
      </c>
    </row>
    <row r="2" spans="1:15" x14ac:dyDescent="0.25">
      <c r="A2" s="74" t="s">
        <v>300</v>
      </c>
    </row>
    <row r="3" spans="1:15" ht="45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15" x14ac:dyDescent="0.25">
      <c r="B4" s="13"/>
    </row>
    <row r="5" spans="1:15" x14ac:dyDescent="0.25">
      <c r="A5" t="s">
        <v>86</v>
      </c>
      <c r="B5" s="97">
        <f>'BC Gevel+Vloerisolatie'!C42</f>
        <v>0.73602953353981915</v>
      </c>
      <c r="C5" s="86"/>
      <c r="D5" s="86"/>
      <c r="E5" t="s">
        <v>81</v>
      </c>
    </row>
    <row r="6" spans="1:15" x14ac:dyDescent="0.25">
      <c r="B6" s="97"/>
      <c r="C6" s="86"/>
      <c r="D6" s="86"/>
    </row>
    <row r="7" spans="1:15" ht="30" x14ac:dyDescent="0.25">
      <c r="A7" t="s">
        <v>127</v>
      </c>
      <c r="B7" s="86"/>
      <c r="C7" s="86">
        <v>0</v>
      </c>
      <c r="D7" s="86"/>
      <c r="E7" s="103" t="s">
        <v>125</v>
      </c>
    </row>
    <row r="8" spans="1:15" x14ac:dyDescent="0.25">
      <c r="A8" t="s">
        <v>88</v>
      </c>
      <c r="B8" s="86"/>
      <c r="C8" s="86">
        <f>'BC Gevel+Vloerisolatie'!B4*1.9</f>
        <v>615.6</v>
      </c>
      <c r="D8" s="86"/>
      <c r="E8" t="s">
        <v>124</v>
      </c>
    </row>
    <row r="9" spans="1:15" x14ac:dyDescent="0.25">
      <c r="A9" t="s">
        <v>89</v>
      </c>
      <c r="B9" s="86"/>
      <c r="C9" s="86">
        <f>C7+C8</f>
        <v>615.6</v>
      </c>
      <c r="D9" s="86"/>
      <c r="E9" t="s">
        <v>126</v>
      </c>
    </row>
    <row r="10" spans="1:15" x14ac:dyDescent="0.25">
      <c r="B10" s="86"/>
      <c r="C10" s="86"/>
      <c r="D10" s="86"/>
    </row>
    <row r="11" spans="1:15" ht="30" x14ac:dyDescent="0.25">
      <c r="A11" t="s">
        <v>90</v>
      </c>
      <c r="B11" s="86"/>
      <c r="C11" s="86"/>
      <c r="D11" s="86" t="s">
        <v>78</v>
      </c>
      <c r="E11" s="55" t="s">
        <v>130</v>
      </c>
      <c r="F11" s="2" t="s">
        <v>159</v>
      </c>
    </row>
    <row r="12" spans="1:15" x14ac:dyDescent="0.25">
      <c r="B12" s="86"/>
      <c r="C12" s="86"/>
      <c r="D12" s="86"/>
      <c r="E12" t="s">
        <v>158</v>
      </c>
      <c r="F12" s="116" t="s">
        <v>106</v>
      </c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25">
      <c r="B13" s="86"/>
      <c r="C13" s="98"/>
      <c r="D13" s="86"/>
      <c r="E13" s="41"/>
      <c r="F13" s="117" t="s">
        <v>93</v>
      </c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25">
      <c r="A14" t="s">
        <v>186</v>
      </c>
      <c r="B14" s="86">
        <v>2</v>
      </c>
      <c r="C14" s="86">
        <v>3</v>
      </c>
      <c r="D14" s="86">
        <v>4</v>
      </c>
      <c r="E14" t="s">
        <v>132</v>
      </c>
      <c r="F14" s="117" t="s">
        <v>94</v>
      </c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25">
      <c r="B15" s="86"/>
      <c r="C15" s="26"/>
      <c r="D15" s="86"/>
      <c r="E15" t="s">
        <v>82</v>
      </c>
      <c r="F15" s="117" t="s">
        <v>291</v>
      </c>
      <c r="G15" s="33"/>
      <c r="H15" s="33"/>
      <c r="I15" s="33"/>
      <c r="J15" s="33"/>
      <c r="K15" s="33"/>
      <c r="L15" s="33"/>
      <c r="M15" s="33"/>
      <c r="N15" s="33"/>
      <c r="O15" s="33"/>
    </row>
    <row r="16" spans="1:15" x14ac:dyDescent="0.25">
      <c r="B16" s="86"/>
      <c r="C16" s="26"/>
      <c r="D16" s="86"/>
      <c r="F16" s="16" t="s">
        <v>95</v>
      </c>
      <c r="G16" s="33"/>
      <c r="H16" s="33"/>
      <c r="I16" s="33"/>
      <c r="J16" s="33"/>
      <c r="K16" s="33"/>
      <c r="L16" s="33"/>
      <c r="M16" s="33"/>
      <c r="N16" s="33"/>
      <c r="O16" s="33"/>
    </row>
    <row r="17" spans="1:15" x14ac:dyDescent="0.25">
      <c r="A17" t="s">
        <v>131</v>
      </c>
      <c r="B17" s="99">
        <v>0.6</v>
      </c>
      <c r="C17" s="99">
        <v>0.1</v>
      </c>
      <c r="D17" s="99">
        <v>0.3</v>
      </c>
      <c r="E17" t="s">
        <v>84</v>
      </c>
      <c r="F17" s="48" t="s">
        <v>74</v>
      </c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8.75" x14ac:dyDescent="0.3">
      <c r="B18" s="4"/>
      <c r="C18" s="4"/>
      <c r="D18" s="4"/>
      <c r="E18" s="14"/>
      <c r="F18" s="16" t="s">
        <v>96</v>
      </c>
      <c r="G18" s="33"/>
      <c r="H18" s="33"/>
      <c r="I18" s="33"/>
      <c r="J18" s="33"/>
      <c r="K18" s="33"/>
      <c r="L18" s="33"/>
      <c r="M18" s="33"/>
      <c r="N18" s="33"/>
      <c r="O18" s="33"/>
    </row>
    <row r="19" spans="1:15" x14ac:dyDescent="0.25">
      <c r="A19" s="110" t="s">
        <v>128</v>
      </c>
      <c r="B19" s="111">
        <f>B14*B17+C14*C17+D14*D17</f>
        <v>2.7</v>
      </c>
      <c r="E19" t="s">
        <v>129</v>
      </c>
      <c r="F19" s="16" t="s">
        <v>97</v>
      </c>
      <c r="G19" s="33"/>
      <c r="H19" s="33"/>
      <c r="I19" s="33"/>
      <c r="J19" s="33"/>
      <c r="K19" s="33"/>
      <c r="L19" s="33"/>
      <c r="M19" s="33"/>
      <c r="N19" s="33"/>
      <c r="O19" s="33"/>
    </row>
    <row r="20" spans="1:15" x14ac:dyDescent="0.25">
      <c r="F20" s="48" t="s">
        <v>99</v>
      </c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5">
      <c r="F21" s="118" t="s">
        <v>292</v>
      </c>
      <c r="G21" s="33"/>
      <c r="H21" s="33"/>
      <c r="I21" s="33"/>
      <c r="J21" s="33"/>
      <c r="K21" s="33"/>
      <c r="L21" s="33"/>
      <c r="M21" s="33"/>
      <c r="N21" s="33"/>
      <c r="O21" s="33"/>
    </row>
    <row r="22" spans="1:15" x14ac:dyDescent="0.25">
      <c r="F22" s="48" t="s">
        <v>100</v>
      </c>
      <c r="G22" s="33"/>
      <c r="H22" s="33"/>
      <c r="I22" s="33"/>
      <c r="J22" s="33"/>
      <c r="K22" s="33"/>
      <c r="L22" s="33"/>
      <c r="M22" s="33"/>
      <c r="N22" s="33"/>
      <c r="O22" s="33"/>
    </row>
    <row r="23" spans="1:15" x14ac:dyDescent="0.25">
      <c r="F23" s="48" t="s">
        <v>101</v>
      </c>
      <c r="G23" s="33"/>
      <c r="H23" s="33"/>
      <c r="I23" s="33"/>
      <c r="J23" s="33"/>
      <c r="K23" s="33"/>
      <c r="L23" s="33"/>
      <c r="M23" s="33"/>
      <c r="N23" s="33"/>
      <c r="O23" s="33"/>
    </row>
    <row r="24" spans="1:15" x14ac:dyDescent="0.25">
      <c r="F24" s="118" t="s">
        <v>293</v>
      </c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5">
      <c r="F25" s="48" t="s">
        <v>98</v>
      </c>
      <c r="G25" s="33"/>
      <c r="H25" s="33"/>
      <c r="I25" s="33"/>
      <c r="J25" s="33"/>
      <c r="K25" s="33"/>
      <c r="L25" s="33"/>
      <c r="M25" s="33"/>
      <c r="N25" s="33"/>
      <c r="O25" s="33"/>
    </row>
    <row r="26" spans="1:15" x14ac:dyDescent="0.25">
      <c r="F26" s="48" t="s">
        <v>102</v>
      </c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5.75" x14ac:dyDescent="0.25">
      <c r="F27" s="32" t="s">
        <v>77</v>
      </c>
      <c r="G27" s="33"/>
      <c r="H27" s="33"/>
      <c r="I27" s="33"/>
      <c r="J27" s="33"/>
      <c r="K27" s="33"/>
      <c r="L27" s="33"/>
      <c r="M27" s="33"/>
      <c r="N27" s="33"/>
      <c r="O27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0"/>
  <sheetViews>
    <sheetView workbookViewId="0">
      <selection activeCell="J32" sqref="J32"/>
    </sheetView>
  </sheetViews>
  <sheetFormatPr defaultRowHeight="15" x14ac:dyDescent="0.25"/>
  <cols>
    <col min="1" max="1" width="17.28515625" bestFit="1" customWidth="1"/>
    <col min="2" max="2" width="85.7109375" customWidth="1"/>
    <col min="3" max="3" width="12.7109375" customWidth="1"/>
    <col min="4" max="34" width="15.85546875" customWidth="1"/>
  </cols>
  <sheetData>
    <row r="1" spans="1:34" s="113" customFormat="1" x14ac:dyDescent="0.25">
      <c r="B1" s="112" t="s">
        <v>145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  <c r="O1" s="89" t="s">
        <v>237</v>
      </c>
      <c r="P1" s="89" t="s">
        <v>238</v>
      </c>
      <c r="Q1" s="89" t="s">
        <v>239</v>
      </c>
      <c r="R1" s="89" t="s">
        <v>240</v>
      </c>
      <c r="S1" s="89" t="s">
        <v>241</v>
      </c>
      <c r="T1" s="89" t="s">
        <v>242</v>
      </c>
      <c r="U1" s="89" t="s">
        <v>243</v>
      </c>
      <c r="V1" s="89" t="s">
        <v>244</v>
      </c>
      <c r="W1" s="89" t="s">
        <v>245</v>
      </c>
      <c r="X1" s="89" t="s">
        <v>246</v>
      </c>
      <c r="Y1" s="89" t="s">
        <v>247</v>
      </c>
      <c r="Z1" s="89" t="s">
        <v>248</v>
      </c>
      <c r="AA1" s="89" t="s">
        <v>249</v>
      </c>
      <c r="AB1" s="89" t="s">
        <v>250</v>
      </c>
      <c r="AC1" s="89" t="s">
        <v>251</v>
      </c>
      <c r="AD1" s="89" t="s">
        <v>252</v>
      </c>
      <c r="AE1" s="89" t="s">
        <v>253</v>
      </c>
      <c r="AF1" s="89" t="s">
        <v>254</v>
      </c>
      <c r="AG1" s="89" t="s">
        <v>255</v>
      </c>
      <c r="AH1" s="89" t="s">
        <v>256</v>
      </c>
    </row>
    <row r="2" spans="1:34" x14ac:dyDescent="0.25">
      <c r="B2" s="48" t="s">
        <v>161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</row>
    <row r="3" spans="1:34" x14ac:dyDescent="0.25">
      <c r="A3" t="s">
        <v>307</v>
      </c>
      <c r="B3" s="113">
        <v>0</v>
      </c>
      <c r="C3" s="30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</row>
    <row r="4" spans="1:34" x14ac:dyDescent="0.25">
      <c r="A4" t="s">
        <v>308</v>
      </c>
      <c r="B4" s="133">
        <v>189</v>
      </c>
      <c r="C4" s="30"/>
      <c r="D4" s="3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</row>
    <row r="5" spans="1:34" x14ac:dyDescent="0.25">
      <c r="A5" t="s">
        <v>286</v>
      </c>
      <c r="B5" s="134">
        <v>0.25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5"/>
      <c r="AC5" s="5"/>
      <c r="AD5" s="5"/>
      <c r="AE5" s="5"/>
      <c r="AF5" s="5"/>
      <c r="AG5" s="5"/>
      <c r="AH5" s="5"/>
    </row>
    <row r="6" spans="1:34" x14ac:dyDescent="0.25">
      <c r="A6" t="s">
        <v>287</v>
      </c>
      <c r="B6" s="134">
        <v>0.5</v>
      </c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5"/>
      <c r="AC6" s="5"/>
      <c r="AD6" s="5"/>
      <c r="AE6" s="5"/>
      <c r="AF6" s="5"/>
      <c r="AG6" s="5"/>
      <c r="AH6" s="5"/>
    </row>
    <row r="7" spans="1:34" x14ac:dyDescent="0.25">
      <c r="B7" s="109"/>
      <c r="C7" s="54"/>
      <c r="D7" s="54"/>
      <c r="E7" s="54"/>
      <c r="F7" s="54"/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x14ac:dyDescent="0.25">
      <c r="B8" s="28" t="s">
        <v>8</v>
      </c>
      <c r="C8" s="5">
        <f>$B6*$B$4</f>
        <v>94.5</v>
      </c>
      <c r="D8" s="5">
        <f t="shared" ref="D8:AF8" si="0">$B6*$B$4</f>
        <v>94.5</v>
      </c>
      <c r="E8" s="5">
        <f t="shared" si="0"/>
        <v>94.5</v>
      </c>
      <c r="F8" s="5">
        <f t="shared" si="0"/>
        <v>94.5</v>
      </c>
      <c r="G8" s="5">
        <f t="shared" si="0"/>
        <v>94.5</v>
      </c>
      <c r="H8" s="5">
        <f t="shared" si="0"/>
        <v>94.5</v>
      </c>
      <c r="I8" s="5">
        <f t="shared" si="0"/>
        <v>94.5</v>
      </c>
      <c r="J8" s="5">
        <f t="shared" si="0"/>
        <v>94.5</v>
      </c>
      <c r="K8" s="5">
        <f t="shared" si="0"/>
        <v>94.5</v>
      </c>
      <c r="L8" s="5">
        <f t="shared" si="0"/>
        <v>94.5</v>
      </c>
      <c r="M8" s="5">
        <f t="shared" si="0"/>
        <v>94.5</v>
      </c>
      <c r="N8" s="5">
        <f t="shared" si="0"/>
        <v>94.5</v>
      </c>
      <c r="O8" s="5">
        <f t="shared" si="0"/>
        <v>94.5</v>
      </c>
      <c r="P8" s="5">
        <f t="shared" si="0"/>
        <v>94.5</v>
      </c>
      <c r="Q8" s="5">
        <f t="shared" si="0"/>
        <v>94.5</v>
      </c>
      <c r="R8" s="5">
        <f t="shared" si="0"/>
        <v>94.5</v>
      </c>
      <c r="S8" s="5">
        <f t="shared" si="0"/>
        <v>94.5</v>
      </c>
      <c r="T8" s="5">
        <f t="shared" si="0"/>
        <v>94.5</v>
      </c>
      <c r="U8" s="5">
        <f t="shared" si="0"/>
        <v>94.5</v>
      </c>
      <c r="V8" s="5">
        <f t="shared" si="0"/>
        <v>94.5</v>
      </c>
      <c r="W8" s="5">
        <f t="shared" si="0"/>
        <v>94.5</v>
      </c>
      <c r="X8" s="5">
        <f t="shared" si="0"/>
        <v>94.5</v>
      </c>
      <c r="Y8" s="5">
        <f t="shared" si="0"/>
        <v>94.5</v>
      </c>
      <c r="Z8" s="5">
        <f t="shared" si="0"/>
        <v>94.5</v>
      </c>
      <c r="AA8" s="5">
        <f t="shared" si="0"/>
        <v>94.5</v>
      </c>
      <c r="AB8" s="5">
        <f t="shared" si="0"/>
        <v>94.5</v>
      </c>
      <c r="AC8" s="5">
        <f t="shared" si="0"/>
        <v>94.5</v>
      </c>
      <c r="AD8" s="5">
        <f t="shared" si="0"/>
        <v>94.5</v>
      </c>
      <c r="AE8" s="5">
        <f t="shared" si="0"/>
        <v>94.5</v>
      </c>
      <c r="AF8" s="5">
        <f t="shared" si="0"/>
        <v>94.5</v>
      </c>
      <c r="AG8" s="5">
        <v>0</v>
      </c>
      <c r="AH8" s="5">
        <v>0</v>
      </c>
    </row>
    <row r="9" spans="1:34" x14ac:dyDescent="0.25">
      <c r="B9" t="s">
        <v>54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/>
      <c r="S9" s="6"/>
      <c r="T9" s="6"/>
      <c r="U9" s="6"/>
      <c r="V9" s="6"/>
      <c r="W9" s="6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</row>
    <row r="10" spans="1:34" x14ac:dyDescent="0.25">
      <c r="B10" t="s">
        <v>133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</row>
    <row r="11" spans="1:34" x14ac:dyDescent="0.25">
      <c r="B11" t="s">
        <v>135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</row>
    <row r="12" spans="1:34" x14ac:dyDescent="0.25">
      <c r="B12" t="s">
        <v>134</v>
      </c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</row>
    <row r="13" spans="1:34" x14ac:dyDescent="0.25">
      <c r="B13" t="s">
        <v>21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</row>
    <row r="14" spans="1:34" x14ac:dyDescent="0.25">
      <c r="B14" s="1" t="s">
        <v>1</v>
      </c>
      <c r="C14" s="5">
        <f>C8-SUM(C9:C13)</f>
        <v>94.5</v>
      </c>
      <c r="D14" s="5">
        <f>D8-SUM(D9:D13)</f>
        <v>94.5</v>
      </c>
      <c r="E14" s="5">
        <f>E8-SUM(E9:E13)</f>
        <v>94.5</v>
      </c>
      <c r="F14" s="5">
        <f>F8-SUM(F9:F13)</f>
        <v>94.5</v>
      </c>
      <c r="G14" s="5">
        <f>G8-SUM(G9:G13)</f>
        <v>94.5</v>
      </c>
      <c r="H14" s="5">
        <f t="shared" ref="H14:AH14" si="1">H8-SUM(H9:H13)</f>
        <v>94.5</v>
      </c>
      <c r="I14" s="5">
        <f t="shared" si="1"/>
        <v>94.5</v>
      </c>
      <c r="J14" s="5">
        <f t="shared" si="1"/>
        <v>94.5</v>
      </c>
      <c r="K14" s="5">
        <f t="shared" si="1"/>
        <v>94.5</v>
      </c>
      <c r="L14" s="5">
        <f t="shared" si="1"/>
        <v>94.5</v>
      </c>
      <c r="M14" s="5">
        <f t="shared" si="1"/>
        <v>94.5</v>
      </c>
      <c r="N14" s="5">
        <f t="shared" si="1"/>
        <v>94.5</v>
      </c>
      <c r="O14" s="5">
        <f t="shared" si="1"/>
        <v>94.5</v>
      </c>
      <c r="P14" s="5">
        <f t="shared" si="1"/>
        <v>94.5</v>
      </c>
      <c r="Q14" s="5">
        <f t="shared" si="1"/>
        <v>94.5</v>
      </c>
      <c r="R14" s="5">
        <f t="shared" si="1"/>
        <v>94.5</v>
      </c>
      <c r="S14" s="5">
        <f t="shared" si="1"/>
        <v>94.5</v>
      </c>
      <c r="T14" s="5">
        <f t="shared" si="1"/>
        <v>94.5</v>
      </c>
      <c r="U14" s="5">
        <f t="shared" si="1"/>
        <v>94.5</v>
      </c>
      <c r="V14" s="5">
        <f t="shared" si="1"/>
        <v>94.5</v>
      </c>
      <c r="W14" s="5">
        <f t="shared" si="1"/>
        <v>94.5</v>
      </c>
      <c r="X14" s="5">
        <f t="shared" si="1"/>
        <v>94.5</v>
      </c>
      <c r="Y14" s="5">
        <f t="shared" si="1"/>
        <v>94.5</v>
      </c>
      <c r="Z14" s="5">
        <f t="shared" si="1"/>
        <v>94.5</v>
      </c>
      <c r="AA14" s="5">
        <f t="shared" si="1"/>
        <v>94.5</v>
      </c>
      <c r="AB14" s="5">
        <f t="shared" si="1"/>
        <v>94.5</v>
      </c>
      <c r="AC14" s="5">
        <f t="shared" si="1"/>
        <v>94.5</v>
      </c>
      <c r="AD14" s="5">
        <f t="shared" si="1"/>
        <v>94.5</v>
      </c>
      <c r="AE14" s="5">
        <f t="shared" si="1"/>
        <v>94.5</v>
      </c>
      <c r="AF14" s="5">
        <f t="shared" si="1"/>
        <v>94.5</v>
      </c>
      <c r="AG14" s="5">
        <f t="shared" si="1"/>
        <v>0</v>
      </c>
      <c r="AH14" s="5">
        <f t="shared" si="1"/>
        <v>0</v>
      </c>
    </row>
    <row r="15" spans="1:34" ht="30" x14ac:dyDescent="0.25">
      <c r="B15" s="55" t="s">
        <v>16</v>
      </c>
      <c r="C15" s="6">
        <f>$C$29/30</f>
        <v>69.066666666666663</v>
      </c>
      <c r="D15" s="6">
        <f t="shared" ref="D15:AF15" si="2">$C$29/30</f>
        <v>69.066666666666663</v>
      </c>
      <c r="E15" s="6">
        <f t="shared" si="2"/>
        <v>69.066666666666663</v>
      </c>
      <c r="F15" s="6">
        <f t="shared" si="2"/>
        <v>69.066666666666663</v>
      </c>
      <c r="G15" s="6">
        <f t="shared" si="2"/>
        <v>69.066666666666663</v>
      </c>
      <c r="H15" s="6">
        <f t="shared" si="2"/>
        <v>69.066666666666663</v>
      </c>
      <c r="I15" s="6">
        <f t="shared" si="2"/>
        <v>69.066666666666663</v>
      </c>
      <c r="J15" s="6">
        <f t="shared" si="2"/>
        <v>69.066666666666663</v>
      </c>
      <c r="K15" s="6">
        <f t="shared" si="2"/>
        <v>69.066666666666663</v>
      </c>
      <c r="L15" s="6">
        <f t="shared" si="2"/>
        <v>69.066666666666663</v>
      </c>
      <c r="M15" s="6">
        <f t="shared" si="2"/>
        <v>69.066666666666663</v>
      </c>
      <c r="N15" s="6">
        <f t="shared" si="2"/>
        <v>69.066666666666663</v>
      </c>
      <c r="O15" s="6">
        <f t="shared" si="2"/>
        <v>69.066666666666663</v>
      </c>
      <c r="P15" s="6">
        <f t="shared" si="2"/>
        <v>69.066666666666663</v>
      </c>
      <c r="Q15" s="6">
        <f t="shared" si="2"/>
        <v>69.066666666666663</v>
      </c>
      <c r="R15" s="6">
        <f t="shared" si="2"/>
        <v>69.066666666666663</v>
      </c>
      <c r="S15" s="6">
        <f t="shared" si="2"/>
        <v>69.066666666666663</v>
      </c>
      <c r="T15" s="6">
        <f t="shared" si="2"/>
        <v>69.066666666666663</v>
      </c>
      <c r="U15" s="6">
        <f t="shared" si="2"/>
        <v>69.066666666666663</v>
      </c>
      <c r="V15" s="6">
        <f t="shared" si="2"/>
        <v>69.066666666666663</v>
      </c>
      <c r="W15" s="6">
        <f t="shared" si="2"/>
        <v>69.066666666666663</v>
      </c>
      <c r="X15" s="6">
        <f t="shared" si="2"/>
        <v>69.066666666666663</v>
      </c>
      <c r="Y15" s="6">
        <f t="shared" si="2"/>
        <v>69.066666666666663</v>
      </c>
      <c r="Z15" s="6">
        <f t="shared" si="2"/>
        <v>69.066666666666663</v>
      </c>
      <c r="AA15" s="6">
        <f t="shared" si="2"/>
        <v>69.066666666666663</v>
      </c>
      <c r="AB15" s="6">
        <f t="shared" si="2"/>
        <v>69.066666666666663</v>
      </c>
      <c r="AC15" s="6">
        <f t="shared" si="2"/>
        <v>69.066666666666663</v>
      </c>
      <c r="AD15" s="6">
        <f t="shared" si="2"/>
        <v>69.066666666666663</v>
      </c>
      <c r="AE15" s="6">
        <f t="shared" si="2"/>
        <v>69.066666666666663</v>
      </c>
      <c r="AF15" s="6">
        <f t="shared" si="2"/>
        <v>69.066666666666663</v>
      </c>
      <c r="AG15" s="6">
        <v>0</v>
      </c>
      <c r="AH15" s="6">
        <v>0</v>
      </c>
    </row>
    <row r="16" spans="1:34" x14ac:dyDescent="0.25">
      <c r="B16" s="1" t="s">
        <v>2</v>
      </c>
      <c r="C16" s="5">
        <f t="shared" ref="C16:AH16" si="3">C14-C15</f>
        <v>25.433333333333337</v>
      </c>
      <c r="D16" s="5">
        <f t="shared" si="3"/>
        <v>25.433333333333337</v>
      </c>
      <c r="E16" s="5">
        <f t="shared" si="3"/>
        <v>25.433333333333337</v>
      </c>
      <c r="F16" s="5">
        <f t="shared" si="3"/>
        <v>25.433333333333337</v>
      </c>
      <c r="G16" s="5">
        <f t="shared" si="3"/>
        <v>25.433333333333337</v>
      </c>
      <c r="H16" s="5">
        <f t="shared" si="3"/>
        <v>25.433333333333337</v>
      </c>
      <c r="I16" s="5">
        <f t="shared" si="3"/>
        <v>25.433333333333337</v>
      </c>
      <c r="J16" s="5">
        <f t="shared" si="3"/>
        <v>25.433333333333337</v>
      </c>
      <c r="K16" s="5">
        <f t="shared" si="3"/>
        <v>25.433333333333337</v>
      </c>
      <c r="L16" s="5">
        <f t="shared" si="3"/>
        <v>25.433333333333337</v>
      </c>
      <c r="M16" s="5">
        <f t="shared" si="3"/>
        <v>25.433333333333337</v>
      </c>
      <c r="N16" s="5">
        <f t="shared" si="3"/>
        <v>25.433333333333337</v>
      </c>
      <c r="O16" s="5">
        <f t="shared" si="3"/>
        <v>25.433333333333337</v>
      </c>
      <c r="P16" s="5">
        <f t="shared" si="3"/>
        <v>25.433333333333337</v>
      </c>
      <c r="Q16" s="5">
        <f t="shared" si="3"/>
        <v>25.433333333333337</v>
      </c>
      <c r="R16" s="5">
        <f t="shared" si="3"/>
        <v>25.433333333333337</v>
      </c>
      <c r="S16" s="5">
        <f t="shared" si="3"/>
        <v>25.433333333333337</v>
      </c>
      <c r="T16" s="5">
        <f t="shared" si="3"/>
        <v>25.433333333333337</v>
      </c>
      <c r="U16" s="5">
        <f t="shared" si="3"/>
        <v>25.433333333333337</v>
      </c>
      <c r="V16" s="5">
        <f t="shared" si="3"/>
        <v>25.433333333333337</v>
      </c>
      <c r="W16" s="5">
        <f t="shared" si="3"/>
        <v>25.433333333333337</v>
      </c>
      <c r="X16" s="5">
        <f t="shared" si="3"/>
        <v>25.433333333333337</v>
      </c>
      <c r="Y16" s="5">
        <f t="shared" si="3"/>
        <v>25.433333333333337</v>
      </c>
      <c r="Z16" s="5">
        <f t="shared" si="3"/>
        <v>25.433333333333337</v>
      </c>
      <c r="AA16" s="5">
        <f t="shared" si="3"/>
        <v>25.433333333333337</v>
      </c>
      <c r="AB16" s="5">
        <f t="shared" si="3"/>
        <v>25.433333333333337</v>
      </c>
      <c r="AC16" s="5">
        <f t="shared" si="3"/>
        <v>25.433333333333337</v>
      </c>
      <c r="AD16" s="5">
        <f t="shared" si="3"/>
        <v>25.433333333333337</v>
      </c>
      <c r="AE16" s="5">
        <f t="shared" si="3"/>
        <v>25.433333333333337</v>
      </c>
      <c r="AF16" s="5">
        <f t="shared" si="3"/>
        <v>25.433333333333337</v>
      </c>
      <c r="AG16" s="5">
        <f t="shared" si="3"/>
        <v>0</v>
      </c>
      <c r="AH16" s="5">
        <f t="shared" si="3"/>
        <v>0</v>
      </c>
    </row>
    <row r="17" spans="2:34" x14ac:dyDescent="0.25">
      <c r="B17" t="s">
        <v>23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</row>
    <row r="18" spans="2:34" x14ac:dyDescent="0.25">
      <c r="B18" s="1" t="s">
        <v>3</v>
      </c>
      <c r="C18" s="5">
        <f t="shared" ref="C18:AH18" si="4">C16-C17</f>
        <v>25.433333333333337</v>
      </c>
      <c r="D18" s="5">
        <f t="shared" si="4"/>
        <v>25.433333333333337</v>
      </c>
      <c r="E18" s="5">
        <f t="shared" si="4"/>
        <v>25.433333333333337</v>
      </c>
      <c r="F18" s="5">
        <f t="shared" si="4"/>
        <v>25.433333333333337</v>
      </c>
      <c r="G18" s="5">
        <f t="shared" si="4"/>
        <v>25.433333333333337</v>
      </c>
      <c r="H18" s="5">
        <f t="shared" si="4"/>
        <v>25.433333333333337</v>
      </c>
      <c r="I18" s="5">
        <f t="shared" si="4"/>
        <v>25.433333333333337</v>
      </c>
      <c r="J18" s="5">
        <f t="shared" si="4"/>
        <v>25.433333333333337</v>
      </c>
      <c r="K18" s="5">
        <f t="shared" si="4"/>
        <v>25.433333333333337</v>
      </c>
      <c r="L18" s="5">
        <f t="shared" si="4"/>
        <v>25.433333333333337</v>
      </c>
      <c r="M18" s="5">
        <f t="shared" si="4"/>
        <v>25.433333333333337</v>
      </c>
      <c r="N18" s="5">
        <f t="shared" si="4"/>
        <v>25.433333333333337</v>
      </c>
      <c r="O18" s="5">
        <f t="shared" si="4"/>
        <v>25.433333333333337</v>
      </c>
      <c r="P18" s="5">
        <f t="shared" si="4"/>
        <v>25.433333333333337</v>
      </c>
      <c r="Q18" s="5">
        <f t="shared" si="4"/>
        <v>25.433333333333337</v>
      </c>
      <c r="R18" s="5">
        <f t="shared" si="4"/>
        <v>25.433333333333337</v>
      </c>
      <c r="S18" s="5">
        <f t="shared" si="4"/>
        <v>25.433333333333337</v>
      </c>
      <c r="T18" s="5">
        <f t="shared" si="4"/>
        <v>25.433333333333337</v>
      </c>
      <c r="U18" s="5">
        <f t="shared" si="4"/>
        <v>25.433333333333337</v>
      </c>
      <c r="V18" s="5">
        <f t="shared" si="4"/>
        <v>25.433333333333337</v>
      </c>
      <c r="W18" s="5">
        <f t="shared" si="4"/>
        <v>25.433333333333337</v>
      </c>
      <c r="X18" s="5">
        <f t="shared" si="4"/>
        <v>25.433333333333337</v>
      </c>
      <c r="Y18" s="5">
        <f t="shared" si="4"/>
        <v>25.433333333333337</v>
      </c>
      <c r="Z18" s="5">
        <f t="shared" si="4"/>
        <v>25.433333333333337</v>
      </c>
      <c r="AA18" s="5">
        <f t="shared" si="4"/>
        <v>25.433333333333337</v>
      </c>
      <c r="AB18" s="5">
        <f t="shared" si="4"/>
        <v>25.433333333333337</v>
      </c>
      <c r="AC18" s="5">
        <f t="shared" si="4"/>
        <v>25.433333333333337</v>
      </c>
      <c r="AD18" s="5">
        <f t="shared" si="4"/>
        <v>25.433333333333337</v>
      </c>
      <c r="AE18" s="5">
        <f t="shared" si="4"/>
        <v>25.433333333333337</v>
      </c>
      <c r="AF18" s="5">
        <f t="shared" si="4"/>
        <v>25.433333333333337</v>
      </c>
      <c r="AG18" s="5">
        <f t="shared" si="4"/>
        <v>0</v>
      </c>
      <c r="AH18" s="5">
        <f t="shared" si="4"/>
        <v>0</v>
      </c>
    </row>
    <row r="19" spans="2:34" x14ac:dyDescent="0.25">
      <c r="B19" t="s">
        <v>20</v>
      </c>
      <c r="C19" s="6">
        <f>0.25*C18</f>
        <v>6.3583333333333343</v>
      </c>
      <c r="D19" s="6">
        <f t="shared" ref="D19:AH19" si="5">0.25*D18</f>
        <v>6.3583333333333343</v>
      </c>
      <c r="E19" s="6">
        <f t="shared" si="5"/>
        <v>6.3583333333333343</v>
      </c>
      <c r="F19" s="6">
        <f t="shared" si="5"/>
        <v>6.3583333333333343</v>
      </c>
      <c r="G19" s="6">
        <f t="shared" si="5"/>
        <v>6.3583333333333343</v>
      </c>
      <c r="H19" s="6">
        <f t="shared" si="5"/>
        <v>6.3583333333333343</v>
      </c>
      <c r="I19" s="6">
        <f t="shared" si="5"/>
        <v>6.3583333333333343</v>
      </c>
      <c r="J19" s="6">
        <f t="shared" si="5"/>
        <v>6.3583333333333343</v>
      </c>
      <c r="K19" s="6">
        <f t="shared" si="5"/>
        <v>6.3583333333333343</v>
      </c>
      <c r="L19" s="6">
        <f t="shared" si="5"/>
        <v>6.3583333333333343</v>
      </c>
      <c r="M19" s="6">
        <f t="shared" si="5"/>
        <v>6.3583333333333343</v>
      </c>
      <c r="N19" s="6">
        <f t="shared" si="5"/>
        <v>6.3583333333333343</v>
      </c>
      <c r="O19" s="6">
        <f t="shared" si="5"/>
        <v>6.3583333333333343</v>
      </c>
      <c r="P19" s="6">
        <f t="shared" si="5"/>
        <v>6.3583333333333343</v>
      </c>
      <c r="Q19" s="6">
        <f t="shared" si="5"/>
        <v>6.3583333333333343</v>
      </c>
      <c r="R19" s="6">
        <f t="shared" si="5"/>
        <v>6.3583333333333343</v>
      </c>
      <c r="S19" s="6">
        <f t="shared" si="5"/>
        <v>6.3583333333333343</v>
      </c>
      <c r="T19" s="6">
        <f t="shared" si="5"/>
        <v>6.3583333333333343</v>
      </c>
      <c r="U19" s="6">
        <f t="shared" si="5"/>
        <v>6.3583333333333343</v>
      </c>
      <c r="V19" s="6">
        <f t="shared" si="5"/>
        <v>6.3583333333333343</v>
      </c>
      <c r="W19" s="6">
        <f t="shared" si="5"/>
        <v>6.3583333333333343</v>
      </c>
      <c r="X19" s="6">
        <f t="shared" si="5"/>
        <v>6.3583333333333343</v>
      </c>
      <c r="Y19" s="6">
        <f t="shared" si="5"/>
        <v>6.3583333333333343</v>
      </c>
      <c r="Z19" s="6">
        <f t="shared" si="5"/>
        <v>6.3583333333333343</v>
      </c>
      <c r="AA19" s="6">
        <f t="shared" si="5"/>
        <v>6.3583333333333343</v>
      </c>
      <c r="AB19" s="6">
        <f t="shared" si="5"/>
        <v>6.3583333333333343</v>
      </c>
      <c r="AC19" s="6">
        <f t="shared" si="5"/>
        <v>6.3583333333333343</v>
      </c>
      <c r="AD19" s="6">
        <f t="shared" si="5"/>
        <v>6.3583333333333343</v>
      </c>
      <c r="AE19" s="6">
        <f t="shared" si="5"/>
        <v>6.3583333333333343</v>
      </c>
      <c r="AF19" s="6">
        <f t="shared" si="5"/>
        <v>6.3583333333333343</v>
      </c>
      <c r="AG19" s="6">
        <f t="shared" si="5"/>
        <v>0</v>
      </c>
      <c r="AH19" s="6">
        <f t="shared" si="5"/>
        <v>0</v>
      </c>
    </row>
    <row r="20" spans="2:34" x14ac:dyDescent="0.25">
      <c r="B20" s="1" t="s">
        <v>4</v>
      </c>
      <c r="C20" s="5">
        <f t="shared" ref="C20:AH20" si="6">C18-C19</f>
        <v>19.075000000000003</v>
      </c>
      <c r="D20" s="5">
        <f t="shared" si="6"/>
        <v>19.075000000000003</v>
      </c>
      <c r="E20" s="5">
        <f t="shared" si="6"/>
        <v>19.075000000000003</v>
      </c>
      <c r="F20" s="5">
        <f t="shared" si="6"/>
        <v>19.075000000000003</v>
      </c>
      <c r="G20" s="5">
        <f t="shared" si="6"/>
        <v>19.075000000000003</v>
      </c>
      <c r="H20" s="5">
        <f t="shared" si="6"/>
        <v>19.075000000000003</v>
      </c>
      <c r="I20" s="5">
        <f t="shared" si="6"/>
        <v>19.075000000000003</v>
      </c>
      <c r="J20" s="5">
        <f t="shared" si="6"/>
        <v>19.075000000000003</v>
      </c>
      <c r="K20" s="5">
        <f t="shared" si="6"/>
        <v>19.075000000000003</v>
      </c>
      <c r="L20" s="5">
        <f t="shared" si="6"/>
        <v>19.075000000000003</v>
      </c>
      <c r="M20" s="5">
        <f t="shared" si="6"/>
        <v>19.075000000000003</v>
      </c>
      <c r="N20" s="5">
        <f t="shared" si="6"/>
        <v>19.075000000000003</v>
      </c>
      <c r="O20" s="5">
        <f t="shared" si="6"/>
        <v>19.075000000000003</v>
      </c>
      <c r="P20" s="5">
        <f t="shared" si="6"/>
        <v>19.075000000000003</v>
      </c>
      <c r="Q20" s="5">
        <f t="shared" si="6"/>
        <v>19.075000000000003</v>
      </c>
      <c r="R20" s="5">
        <f t="shared" si="6"/>
        <v>19.075000000000003</v>
      </c>
      <c r="S20" s="5">
        <f t="shared" si="6"/>
        <v>19.075000000000003</v>
      </c>
      <c r="T20" s="5">
        <f t="shared" si="6"/>
        <v>19.075000000000003</v>
      </c>
      <c r="U20" s="5">
        <f t="shared" si="6"/>
        <v>19.075000000000003</v>
      </c>
      <c r="V20" s="5">
        <f t="shared" si="6"/>
        <v>19.075000000000003</v>
      </c>
      <c r="W20" s="5">
        <f t="shared" si="6"/>
        <v>19.075000000000003</v>
      </c>
      <c r="X20" s="5">
        <f t="shared" si="6"/>
        <v>19.075000000000003</v>
      </c>
      <c r="Y20" s="5">
        <f t="shared" si="6"/>
        <v>19.075000000000003</v>
      </c>
      <c r="Z20" s="5">
        <f t="shared" si="6"/>
        <v>19.075000000000003</v>
      </c>
      <c r="AA20" s="5">
        <f t="shared" si="6"/>
        <v>19.075000000000003</v>
      </c>
      <c r="AB20" s="5">
        <f t="shared" si="6"/>
        <v>19.075000000000003</v>
      </c>
      <c r="AC20" s="5">
        <f t="shared" si="6"/>
        <v>19.075000000000003</v>
      </c>
      <c r="AD20" s="5">
        <f t="shared" si="6"/>
        <v>19.075000000000003</v>
      </c>
      <c r="AE20" s="5">
        <f t="shared" si="6"/>
        <v>19.075000000000003</v>
      </c>
      <c r="AF20" s="5">
        <f t="shared" si="6"/>
        <v>19.075000000000003</v>
      </c>
      <c r="AG20" s="5">
        <f t="shared" si="6"/>
        <v>0</v>
      </c>
      <c r="AH20" s="5">
        <f t="shared" si="6"/>
        <v>0</v>
      </c>
    </row>
    <row r="21" spans="2:34" x14ac:dyDescent="0.25">
      <c r="B21" s="2" t="s">
        <v>136</v>
      </c>
      <c r="C21" s="6">
        <f>C15</f>
        <v>69.066666666666663</v>
      </c>
      <c r="D21" s="6">
        <f>D15</f>
        <v>69.066666666666663</v>
      </c>
      <c r="E21" s="6">
        <f>E15</f>
        <v>69.066666666666663</v>
      </c>
      <c r="F21" s="6">
        <f>F15</f>
        <v>69.066666666666663</v>
      </c>
      <c r="G21" s="6">
        <f>G15</f>
        <v>69.066666666666663</v>
      </c>
      <c r="H21" s="6">
        <f t="shared" ref="H21:AH21" si="7">H15</f>
        <v>69.066666666666663</v>
      </c>
      <c r="I21" s="6">
        <f t="shared" si="7"/>
        <v>69.066666666666663</v>
      </c>
      <c r="J21" s="6">
        <f t="shared" si="7"/>
        <v>69.066666666666663</v>
      </c>
      <c r="K21" s="6">
        <f t="shared" si="7"/>
        <v>69.066666666666663</v>
      </c>
      <c r="L21" s="6">
        <f t="shared" si="7"/>
        <v>69.066666666666663</v>
      </c>
      <c r="M21" s="6">
        <f t="shared" si="7"/>
        <v>69.066666666666663</v>
      </c>
      <c r="N21" s="6">
        <f t="shared" si="7"/>
        <v>69.066666666666663</v>
      </c>
      <c r="O21" s="6">
        <f t="shared" si="7"/>
        <v>69.066666666666663</v>
      </c>
      <c r="P21" s="6">
        <f t="shared" si="7"/>
        <v>69.066666666666663</v>
      </c>
      <c r="Q21" s="6">
        <f t="shared" si="7"/>
        <v>69.066666666666663</v>
      </c>
      <c r="R21" s="6">
        <f t="shared" si="7"/>
        <v>69.066666666666663</v>
      </c>
      <c r="S21" s="6">
        <f t="shared" si="7"/>
        <v>69.066666666666663</v>
      </c>
      <c r="T21" s="6">
        <f t="shared" si="7"/>
        <v>69.066666666666663</v>
      </c>
      <c r="U21" s="6">
        <f t="shared" si="7"/>
        <v>69.066666666666663</v>
      </c>
      <c r="V21" s="6">
        <f t="shared" si="7"/>
        <v>69.066666666666663</v>
      </c>
      <c r="W21" s="6">
        <f t="shared" si="7"/>
        <v>69.066666666666663</v>
      </c>
      <c r="X21" s="6">
        <f t="shared" si="7"/>
        <v>69.066666666666663</v>
      </c>
      <c r="Y21" s="6">
        <f t="shared" si="7"/>
        <v>69.066666666666663</v>
      </c>
      <c r="Z21" s="6">
        <f t="shared" si="7"/>
        <v>69.066666666666663</v>
      </c>
      <c r="AA21" s="6">
        <f t="shared" si="7"/>
        <v>69.066666666666663</v>
      </c>
      <c r="AB21" s="6">
        <f t="shared" si="7"/>
        <v>69.066666666666663</v>
      </c>
      <c r="AC21" s="6">
        <f t="shared" si="7"/>
        <v>69.066666666666663</v>
      </c>
      <c r="AD21" s="6">
        <f t="shared" si="7"/>
        <v>69.066666666666663</v>
      </c>
      <c r="AE21" s="6">
        <f t="shared" si="7"/>
        <v>69.066666666666663</v>
      </c>
      <c r="AF21" s="6">
        <f t="shared" si="7"/>
        <v>69.066666666666663</v>
      </c>
      <c r="AG21" s="6">
        <f t="shared" si="7"/>
        <v>0</v>
      </c>
      <c r="AH21" s="6">
        <f t="shared" si="7"/>
        <v>0</v>
      </c>
    </row>
    <row r="22" spans="2:34" x14ac:dyDescent="0.25">
      <c r="B22" s="2" t="s">
        <v>45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/>
      <c r="S22" s="6"/>
      <c r="T22" s="6"/>
      <c r="U22" s="6"/>
      <c r="V22" s="6"/>
      <c r="W22" s="6"/>
      <c r="X22" s="6"/>
      <c r="Y22" s="6"/>
      <c r="Z22" s="6"/>
      <c r="AA22" s="5"/>
      <c r="AB22" s="5"/>
      <c r="AC22" s="5"/>
      <c r="AD22" s="5"/>
      <c r="AE22" s="5"/>
      <c r="AF22" s="5"/>
      <c r="AG22" s="5"/>
      <c r="AH22" s="5"/>
    </row>
    <row r="23" spans="2:34" x14ac:dyDescent="0.25">
      <c r="B23" s="39" t="s">
        <v>137</v>
      </c>
      <c r="C23" s="6">
        <v>60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5"/>
      <c r="AC23" s="5"/>
      <c r="AD23" s="5"/>
      <c r="AE23" s="5"/>
      <c r="AF23" s="5"/>
      <c r="AG23" s="5"/>
      <c r="AH23" s="5"/>
    </row>
    <row r="24" spans="2:34" x14ac:dyDescent="0.25">
      <c r="B24" s="2" t="s">
        <v>33</v>
      </c>
      <c r="C24" s="6">
        <f>C29*0.5</f>
        <v>1036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5"/>
      <c r="AC24" s="5"/>
      <c r="AD24" s="5"/>
      <c r="AE24" s="5"/>
      <c r="AF24" s="5"/>
      <c r="AG24" s="5"/>
      <c r="AH24" s="5"/>
    </row>
    <row r="25" spans="2:34" x14ac:dyDescent="0.25">
      <c r="B25" s="1" t="s">
        <v>5</v>
      </c>
      <c r="C25" s="5">
        <f t="shared" ref="C25:H25" si="8">C20+SUM(C21:C24)</f>
        <v>1184.1416666666667</v>
      </c>
      <c r="D25" s="5">
        <f t="shared" si="8"/>
        <v>88.141666666666666</v>
      </c>
      <c r="E25" s="5">
        <f t="shared" si="8"/>
        <v>88.141666666666666</v>
      </c>
      <c r="F25" s="5">
        <f t="shared" si="8"/>
        <v>88.141666666666666</v>
      </c>
      <c r="G25" s="5">
        <f t="shared" si="8"/>
        <v>88.141666666666666</v>
      </c>
      <c r="H25" s="5">
        <f t="shared" si="8"/>
        <v>88.141666666666666</v>
      </c>
      <c r="I25" s="5">
        <f t="shared" ref="I25:AH25" si="9">I20+SUM(I21:I24)</f>
        <v>88.141666666666666</v>
      </c>
      <c r="J25" s="5">
        <f t="shared" si="9"/>
        <v>88.141666666666666</v>
      </c>
      <c r="K25" s="5">
        <f t="shared" si="9"/>
        <v>88.141666666666666</v>
      </c>
      <c r="L25" s="5">
        <f t="shared" si="9"/>
        <v>88.141666666666666</v>
      </c>
      <c r="M25" s="5">
        <f t="shared" si="9"/>
        <v>88.141666666666666</v>
      </c>
      <c r="N25" s="5">
        <f t="shared" si="9"/>
        <v>88.141666666666666</v>
      </c>
      <c r="O25" s="5">
        <f t="shared" si="9"/>
        <v>88.141666666666666</v>
      </c>
      <c r="P25" s="5">
        <f t="shared" si="9"/>
        <v>88.141666666666666</v>
      </c>
      <c r="Q25" s="5">
        <f t="shared" si="9"/>
        <v>88.141666666666666</v>
      </c>
      <c r="R25" s="5">
        <f t="shared" si="9"/>
        <v>88.141666666666666</v>
      </c>
      <c r="S25" s="5">
        <f t="shared" si="9"/>
        <v>88.141666666666666</v>
      </c>
      <c r="T25" s="5">
        <f t="shared" si="9"/>
        <v>88.141666666666666</v>
      </c>
      <c r="U25" s="5">
        <f t="shared" si="9"/>
        <v>88.141666666666666</v>
      </c>
      <c r="V25" s="5">
        <f t="shared" si="9"/>
        <v>88.141666666666666</v>
      </c>
      <c r="W25" s="5">
        <f t="shared" si="9"/>
        <v>88.141666666666666</v>
      </c>
      <c r="X25" s="5">
        <f t="shared" si="9"/>
        <v>88.141666666666666</v>
      </c>
      <c r="Y25" s="5">
        <f t="shared" si="9"/>
        <v>88.141666666666666</v>
      </c>
      <c r="Z25" s="5">
        <f t="shared" si="9"/>
        <v>88.141666666666666</v>
      </c>
      <c r="AA25" s="5">
        <f t="shared" si="9"/>
        <v>88.141666666666666</v>
      </c>
      <c r="AB25" s="5">
        <f t="shared" si="9"/>
        <v>88.141666666666666</v>
      </c>
      <c r="AC25" s="5">
        <f t="shared" si="9"/>
        <v>88.141666666666666</v>
      </c>
      <c r="AD25" s="5">
        <f t="shared" si="9"/>
        <v>88.141666666666666</v>
      </c>
      <c r="AE25" s="5">
        <f t="shared" si="9"/>
        <v>88.141666666666666</v>
      </c>
      <c r="AF25" s="5">
        <f t="shared" si="9"/>
        <v>88.141666666666666</v>
      </c>
      <c r="AG25" s="5">
        <f t="shared" si="9"/>
        <v>0</v>
      </c>
      <c r="AH25" s="5">
        <f t="shared" si="9"/>
        <v>0</v>
      </c>
    </row>
    <row r="26" spans="2:34" x14ac:dyDescent="0.25"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2:34" s="113" customFormat="1" x14ac:dyDescent="0.25">
      <c r="B27" s="114" t="s">
        <v>27</v>
      </c>
      <c r="C27" s="90"/>
      <c r="D27" s="90" t="s">
        <v>44</v>
      </c>
      <c r="E27" s="90" t="s">
        <v>0</v>
      </c>
      <c r="F27" s="90" t="s">
        <v>226</v>
      </c>
      <c r="G27" s="90" t="s">
        <v>227</v>
      </c>
      <c r="H27" s="90" t="s">
        <v>228</v>
      </c>
      <c r="I27" s="90" t="s">
        <v>229</v>
      </c>
      <c r="J27" s="90" t="s">
        <v>230</v>
      </c>
      <c r="K27" s="90" t="s">
        <v>231</v>
      </c>
      <c r="L27" s="90" t="s">
        <v>232</v>
      </c>
      <c r="M27" s="90" t="s">
        <v>233</v>
      </c>
      <c r="N27" s="90" t="s">
        <v>234</v>
      </c>
      <c r="O27" s="90" t="s">
        <v>235</v>
      </c>
      <c r="P27" s="90" t="s">
        <v>236</v>
      </c>
      <c r="Q27" s="90" t="s">
        <v>237</v>
      </c>
      <c r="R27" s="90" t="s">
        <v>238</v>
      </c>
      <c r="S27" s="90" t="s">
        <v>239</v>
      </c>
      <c r="T27" s="90" t="s">
        <v>240</v>
      </c>
      <c r="U27" s="90" t="s">
        <v>241</v>
      </c>
      <c r="V27" s="90" t="s">
        <v>242</v>
      </c>
      <c r="W27" s="90" t="s">
        <v>243</v>
      </c>
      <c r="X27" s="90" t="s">
        <v>244</v>
      </c>
      <c r="Y27" s="90" t="s">
        <v>245</v>
      </c>
      <c r="Z27" s="90" t="s">
        <v>246</v>
      </c>
      <c r="AA27" s="90" t="s">
        <v>247</v>
      </c>
      <c r="AB27" s="90" t="s">
        <v>248</v>
      </c>
      <c r="AC27" s="90" t="s">
        <v>249</v>
      </c>
      <c r="AD27" s="90" t="s">
        <v>250</v>
      </c>
      <c r="AE27" s="90" t="s">
        <v>251</v>
      </c>
      <c r="AF27" s="90" t="s">
        <v>252</v>
      </c>
      <c r="AG27" s="90" t="s">
        <v>253</v>
      </c>
      <c r="AH27" s="90" t="s">
        <v>254</v>
      </c>
    </row>
    <row r="28" spans="2:34" x14ac:dyDescent="0.25">
      <c r="B28" s="7" t="s">
        <v>7</v>
      </c>
      <c r="C28" s="8">
        <f>SUM(C25:AF25)</f>
        <v>3740.2500000000041</v>
      </c>
      <c r="D28" s="6" t="s">
        <v>29</v>
      </c>
      <c r="E28" s="10">
        <f>C25-C29</f>
        <v>-887.85833333333335</v>
      </c>
      <c r="F28" s="10">
        <f>E28+D25</f>
        <v>-799.7166666666667</v>
      </c>
      <c r="G28" s="10">
        <f t="shared" ref="G28:X28" si="10">F28+E25</f>
        <v>-711.57500000000005</v>
      </c>
      <c r="H28" s="10">
        <f t="shared" si="10"/>
        <v>-623.43333333333339</v>
      </c>
      <c r="I28" s="10">
        <f t="shared" si="10"/>
        <v>-535.29166666666674</v>
      </c>
      <c r="J28" s="10">
        <f t="shared" si="10"/>
        <v>-447.15000000000009</v>
      </c>
      <c r="K28" s="10">
        <f t="shared" si="10"/>
        <v>-359.00833333333344</v>
      </c>
      <c r="L28" s="10">
        <f t="shared" si="10"/>
        <v>-270.86666666666679</v>
      </c>
      <c r="M28" s="10">
        <f t="shared" si="10"/>
        <v>-182.72500000000014</v>
      </c>
      <c r="N28" s="10">
        <f t="shared" si="10"/>
        <v>-94.583333333333471</v>
      </c>
      <c r="O28" s="10">
        <f t="shared" si="10"/>
        <v>-6.441666666666805</v>
      </c>
      <c r="P28" s="10">
        <f t="shared" si="10"/>
        <v>81.699999999999861</v>
      </c>
      <c r="Q28" s="10">
        <f t="shared" si="10"/>
        <v>169.84166666666653</v>
      </c>
      <c r="R28" s="10">
        <f t="shared" si="10"/>
        <v>257.98333333333318</v>
      </c>
      <c r="S28" s="10">
        <f t="shared" si="10"/>
        <v>346.12499999999983</v>
      </c>
      <c r="T28" s="10">
        <f t="shared" si="10"/>
        <v>434.26666666666648</v>
      </c>
      <c r="U28" s="10">
        <f t="shared" si="10"/>
        <v>522.40833333333319</v>
      </c>
      <c r="V28" s="10">
        <f t="shared" si="10"/>
        <v>610.54999999999984</v>
      </c>
      <c r="W28" s="10">
        <f t="shared" si="10"/>
        <v>698.69166666666649</v>
      </c>
      <c r="X28" s="10">
        <f t="shared" si="10"/>
        <v>786.83333333333314</v>
      </c>
      <c r="Y28" s="10">
        <f t="shared" ref="Y28" si="11">X28+W25</f>
        <v>874.9749999999998</v>
      </c>
      <c r="Z28" s="10">
        <f t="shared" ref="Z28" si="12">Y28+X25</f>
        <v>963.11666666666645</v>
      </c>
      <c r="AA28" s="10">
        <f t="shared" ref="AA28" si="13">Z28+Y25</f>
        <v>1051.2583333333332</v>
      </c>
      <c r="AB28" s="10">
        <f t="shared" ref="AB28" si="14">AA28+Z25</f>
        <v>1139.3999999999999</v>
      </c>
      <c r="AC28" s="10">
        <f t="shared" ref="AC28" si="15">AB28+AA25</f>
        <v>1227.5416666666665</v>
      </c>
      <c r="AD28" s="10">
        <f t="shared" ref="AD28" si="16">AC28+AB25</f>
        <v>1315.6833333333332</v>
      </c>
      <c r="AE28" s="10">
        <f t="shared" ref="AE28" si="17">AD28+AC25</f>
        <v>1403.8249999999998</v>
      </c>
      <c r="AF28" s="10">
        <f t="shared" ref="AF28" si="18">AE28+AD25</f>
        <v>1491.9666666666665</v>
      </c>
      <c r="AG28" s="10">
        <f t="shared" ref="AG28" si="19">AF28+AE25</f>
        <v>1580.1083333333331</v>
      </c>
      <c r="AH28" s="10">
        <f t="shared" ref="AH28" si="20">AG28+AF25</f>
        <v>1668.2499999999998</v>
      </c>
    </row>
    <row r="29" spans="2:34" ht="30" x14ac:dyDescent="0.25">
      <c r="B29" s="60" t="s">
        <v>143</v>
      </c>
      <c r="C29" s="8">
        <v>2072</v>
      </c>
      <c r="D29" s="5"/>
      <c r="G29" t="s">
        <v>333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34" x14ac:dyDescent="0.25">
      <c r="B30" s="7" t="s">
        <v>18</v>
      </c>
      <c r="C30" s="8"/>
      <c r="D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34" x14ac:dyDescent="0.25">
      <c r="B31" s="7" t="s">
        <v>8</v>
      </c>
      <c r="C31" s="8">
        <f>C28-C29</f>
        <v>1668.2500000000041</v>
      </c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34" x14ac:dyDescent="0.25">
      <c r="B32" s="29" t="s">
        <v>10</v>
      </c>
      <c r="C32" s="15">
        <f>C31/C29*100%</f>
        <v>0.80513996138996335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34" x14ac:dyDescent="0.25">
      <c r="B33" s="19"/>
      <c r="C33" s="2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34" x14ac:dyDescent="0.25">
      <c r="B34" t="s">
        <v>31</v>
      </c>
      <c r="C34" s="4">
        <v>0.05</v>
      </c>
      <c r="D34" s="6"/>
      <c r="E34" s="6"/>
    </row>
    <row r="35" spans="2:34" x14ac:dyDescent="0.25">
      <c r="B35" s="1" t="s">
        <v>6</v>
      </c>
      <c r="C35" s="5">
        <f>C25/(1+$C34)</f>
        <v>1127.7539682539682</v>
      </c>
      <c r="D35" s="5">
        <f>D25/(1+$C34)^2</f>
        <v>79.94708994708995</v>
      </c>
      <c r="E35" s="5">
        <f>E25/(1+$C34)^3</f>
        <v>76.140085663895178</v>
      </c>
      <c r="F35" s="5">
        <f>F25/(1+$C34)^4</f>
        <v>72.514367298947803</v>
      </c>
      <c r="G35" s="5">
        <f>G25/(1+$C34)^5</f>
        <v>69.061302189474091</v>
      </c>
      <c r="H35" s="5">
        <f>H25/(1+$C34)^6</f>
        <v>65.77266875188009</v>
      </c>
      <c r="I35" s="5">
        <f>I25/(1+$C34)^7</f>
        <v>62.640636906552452</v>
      </c>
      <c r="J35" s="5">
        <f>J25/(1+$C34)^8</f>
        <v>59.657749434811869</v>
      </c>
      <c r="K35" s="5">
        <f>K25/(1+$C34)^9</f>
        <v>56.816904223630345</v>
      </c>
      <c r="L35" s="5">
        <f>L25/(1+$C34)^10</f>
        <v>54.11133735583843</v>
      </c>
      <c r="M35" s="5">
        <f>M25/(1+$C34)^11</f>
        <v>51.534607005560403</v>
      </c>
      <c r="N35" s="5">
        <f>N25/(1+$C34)^12</f>
        <v>49.080578100533721</v>
      </c>
      <c r="O35" s="5">
        <f>O25/(1+$C34)^13</f>
        <v>46.743407714794017</v>
      </c>
      <c r="P35" s="5">
        <f>P25/(1+$C34)^14</f>
        <v>44.517531156946688</v>
      </c>
      <c r="Q35" s="5">
        <f>Q25/(1+$C34)^15</f>
        <v>42.3976487209016</v>
      </c>
      <c r="R35" s="5">
        <f>R25/(1+$C34)^16</f>
        <v>40.378713067525332</v>
      </c>
      <c r="S35" s="5">
        <f>S25/(1+$C34)^17</f>
        <v>38.455917207166976</v>
      </c>
      <c r="T35" s="5">
        <f>T25/(1+$C34)^18</f>
        <v>36.624683054444745</v>
      </c>
      <c r="U35" s="5">
        <f>U25/(1+$C34)^19</f>
        <v>34.880650528042615</v>
      </c>
      <c r="V35" s="5">
        <f>V25/(1+$C34)^20</f>
        <v>33.219667169564396</v>
      </c>
      <c r="W35" s="5">
        <f>W25/(1+$C34)^21</f>
        <v>31.637778256727994</v>
      </c>
      <c r="X35" s="5">
        <f>X25/(1+$C34)^22</f>
        <v>30.131217387359996</v>
      </c>
      <c r="Y35" s="5">
        <f>Y25/(1+$C34)^23</f>
        <v>28.696397511771419</v>
      </c>
      <c r="Z35" s="5">
        <f>Z25/(1+$C34)^24</f>
        <v>27.329902392163262</v>
      </c>
      <c r="AA35" s="5">
        <f>AA25/(1+$C34)^25</f>
        <v>26.028478468726913</v>
      </c>
      <c r="AB35" s="5">
        <f>AB25/(1+$C34)^26</f>
        <v>24.789027113073249</v>
      </c>
      <c r="AC35" s="5">
        <f>AC25/(1+$C34)^27</f>
        <v>23.608597250545952</v>
      </c>
      <c r="AD35" s="5">
        <f>AD25/(1+$C34)^28</f>
        <v>22.484378333853289</v>
      </c>
      <c r="AE35" s="5">
        <f>AE25/(1+$C34)^29</f>
        <v>21.413693651288842</v>
      </c>
      <c r="AF35" s="5">
        <f>AF25/(1+$C34)^30</f>
        <v>20.39399395360843</v>
      </c>
      <c r="AG35" s="5">
        <f>AG25/(1+$C34)^31</f>
        <v>0</v>
      </c>
      <c r="AH35" s="5">
        <f>AH25/(1+$C34)^32</f>
        <v>0</v>
      </c>
    </row>
    <row r="36" spans="2:34" x14ac:dyDescent="0.25">
      <c r="B36" s="1"/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34" x14ac:dyDescent="0.25">
      <c r="B37" s="22" t="s">
        <v>28</v>
      </c>
      <c r="C37" s="23"/>
      <c r="D37" s="27" t="s">
        <v>44</v>
      </c>
      <c r="E37" s="91" t="s">
        <v>0</v>
      </c>
      <c r="F37" s="91" t="s">
        <v>226</v>
      </c>
      <c r="G37" s="91" t="s">
        <v>227</v>
      </c>
      <c r="H37" s="91" t="s">
        <v>228</v>
      </c>
      <c r="I37" s="91" t="s">
        <v>229</v>
      </c>
      <c r="J37" s="91" t="s">
        <v>230</v>
      </c>
      <c r="K37" s="91" t="s">
        <v>231</v>
      </c>
      <c r="L37" s="91" t="s">
        <v>232</v>
      </c>
      <c r="M37" s="91" t="s">
        <v>233</v>
      </c>
      <c r="N37" s="91" t="s">
        <v>234</v>
      </c>
      <c r="O37" s="91" t="s">
        <v>235</v>
      </c>
      <c r="P37" s="91" t="s">
        <v>236</v>
      </c>
      <c r="Q37" s="91" t="s">
        <v>237</v>
      </c>
      <c r="R37" s="91" t="s">
        <v>238</v>
      </c>
      <c r="S37" s="91" t="s">
        <v>239</v>
      </c>
      <c r="T37" s="91" t="s">
        <v>240</v>
      </c>
      <c r="U37" s="91" t="s">
        <v>241</v>
      </c>
      <c r="V37" s="91" t="s">
        <v>242</v>
      </c>
      <c r="W37" s="91" t="s">
        <v>243</v>
      </c>
      <c r="X37" s="91" t="s">
        <v>244</v>
      </c>
      <c r="Y37" s="91" t="s">
        <v>245</v>
      </c>
      <c r="Z37" s="91" t="s">
        <v>246</v>
      </c>
      <c r="AA37" s="91" t="s">
        <v>247</v>
      </c>
      <c r="AB37" s="91" t="s">
        <v>248</v>
      </c>
      <c r="AC37" s="91" t="s">
        <v>249</v>
      </c>
      <c r="AD37" s="91" t="s">
        <v>250</v>
      </c>
      <c r="AE37" s="91" t="s">
        <v>251</v>
      </c>
      <c r="AF37" s="91" t="s">
        <v>252</v>
      </c>
      <c r="AG37" s="91" t="s">
        <v>253</v>
      </c>
      <c r="AH37" s="91" t="s">
        <v>254</v>
      </c>
    </row>
    <row r="38" spans="2:34" x14ac:dyDescent="0.25">
      <c r="B38" s="7" t="s">
        <v>15</v>
      </c>
      <c r="C38" s="8">
        <f>SUM(C35:AH35)</f>
        <v>2398.762978070688</v>
      </c>
      <c r="D38" s="6" t="s">
        <v>30</v>
      </c>
      <c r="E38" s="10">
        <f>C35-C39</f>
        <v>-944.2460317460318</v>
      </c>
      <c r="F38" s="10">
        <f>E38+D35</f>
        <v>-864.29894179894188</v>
      </c>
      <c r="G38" s="10">
        <f t="shared" ref="G38:X38" si="21">F38+E35</f>
        <v>-788.15885613504668</v>
      </c>
      <c r="H38" s="10">
        <f t="shared" si="21"/>
        <v>-715.64448883609884</v>
      </c>
      <c r="I38" s="10">
        <f t="shared" si="21"/>
        <v>-646.58318664662477</v>
      </c>
      <c r="J38" s="10">
        <f t="shared" si="21"/>
        <v>-580.81051789474463</v>
      </c>
      <c r="K38" s="10">
        <f t="shared" si="21"/>
        <v>-518.16988098819218</v>
      </c>
      <c r="L38" s="10">
        <f t="shared" si="21"/>
        <v>-458.5121315533803</v>
      </c>
      <c r="M38" s="10">
        <f t="shared" si="21"/>
        <v>-401.69522732974997</v>
      </c>
      <c r="N38" s="10">
        <f t="shared" si="21"/>
        <v>-347.58388997391154</v>
      </c>
      <c r="O38" s="10">
        <f t="shared" si="21"/>
        <v>-296.04928296835112</v>
      </c>
      <c r="P38" s="10">
        <f t="shared" si="21"/>
        <v>-246.96870486781739</v>
      </c>
      <c r="Q38" s="10">
        <f t="shared" si="21"/>
        <v>-200.22529715302338</v>
      </c>
      <c r="R38" s="10">
        <f t="shared" si="21"/>
        <v>-155.70776599607669</v>
      </c>
      <c r="S38" s="10">
        <f t="shared" si="21"/>
        <v>-113.31011727517509</v>
      </c>
      <c r="T38" s="10">
        <f t="shared" si="21"/>
        <v>-72.931404207649763</v>
      </c>
      <c r="U38" s="10">
        <f t="shared" si="21"/>
        <v>-34.475487000482786</v>
      </c>
      <c r="V38" s="10">
        <f t="shared" si="21"/>
        <v>2.1491960539619583</v>
      </c>
      <c r="W38" s="10">
        <f t="shared" si="21"/>
        <v>37.029846582004573</v>
      </c>
      <c r="X38" s="10">
        <f t="shared" si="21"/>
        <v>70.249513751568969</v>
      </c>
      <c r="Y38" s="10">
        <f t="shared" ref="Y38" si="22">X38+W35</f>
        <v>101.88729200829697</v>
      </c>
      <c r="Z38" s="10">
        <f t="shared" ref="Z38" si="23">Y38+X35</f>
        <v>132.01850939565696</v>
      </c>
      <c r="AA38" s="10">
        <f t="shared" ref="AA38" si="24">Z38+Y35</f>
        <v>160.71490690742837</v>
      </c>
      <c r="AB38" s="10">
        <f t="shared" ref="AB38" si="25">AA38+Z35</f>
        <v>188.04480929959163</v>
      </c>
      <c r="AC38" s="10">
        <f t="shared" ref="AC38" si="26">AB38+AA35</f>
        <v>214.07328776831855</v>
      </c>
      <c r="AD38" s="10">
        <f t="shared" ref="AD38" si="27">AC38+AB35</f>
        <v>238.8623148813918</v>
      </c>
      <c r="AE38" s="10">
        <f t="shared" ref="AE38" si="28">AD38+AC35</f>
        <v>262.47091213193772</v>
      </c>
      <c r="AF38" s="10">
        <f t="shared" ref="AF38" si="29">AE38+AD35</f>
        <v>284.95529046579099</v>
      </c>
      <c r="AG38" s="10">
        <f t="shared" ref="AG38" si="30">AF38+AE35</f>
        <v>306.36898411707983</v>
      </c>
      <c r="AH38" s="10">
        <f t="shared" ref="AH38" si="31">AG38+AF35</f>
        <v>326.76297807068829</v>
      </c>
    </row>
    <row r="39" spans="2:34" x14ac:dyDescent="0.25">
      <c r="B39" s="7" t="s">
        <v>17</v>
      </c>
      <c r="C39" s="8">
        <f>C29</f>
        <v>2072</v>
      </c>
      <c r="D39" s="6"/>
      <c r="G39" t="s">
        <v>188</v>
      </c>
    </row>
    <row r="40" spans="2:34" x14ac:dyDescent="0.25">
      <c r="B40" s="7" t="s">
        <v>18</v>
      </c>
      <c r="C40" s="8"/>
      <c r="D40" s="6"/>
    </row>
    <row r="41" spans="2:34" x14ac:dyDescent="0.25">
      <c r="B41" s="7" t="s">
        <v>14</v>
      </c>
      <c r="C41" s="8">
        <f>C38-C39</f>
        <v>326.76297807068795</v>
      </c>
      <c r="D41" s="6"/>
    </row>
    <row r="42" spans="2:34" x14ac:dyDescent="0.25">
      <c r="B42" s="29" t="s">
        <v>9</v>
      </c>
      <c r="C42" s="15">
        <f>(C41/C39)*100%</f>
        <v>0.15770413999550575</v>
      </c>
      <c r="D42" s="5" t="s">
        <v>189</v>
      </c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34" ht="15.75" thickBot="1" x14ac:dyDescent="0.3">
      <c r="E43" s="10"/>
    </row>
    <row r="44" spans="2:34" x14ac:dyDescent="0.25">
      <c r="B44" s="106" t="s">
        <v>190</v>
      </c>
      <c r="C44" s="88"/>
      <c r="F44" s="2"/>
    </row>
    <row r="45" spans="2:34" x14ac:dyDescent="0.25">
      <c r="B45" s="42" t="s">
        <v>151</v>
      </c>
      <c r="C45" s="43" t="s">
        <v>191</v>
      </c>
      <c r="F45" s="2"/>
    </row>
    <row r="46" spans="2:34" x14ac:dyDescent="0.25">
      <c r="B46" s="42" t="s">
        <v>152</v>
      </c>
      <c r="C46" s="43" t="s">
        <v>157</v>
      </c>
    </row>
    <row r="47" spans="2:34" x14ac:dyDescent="0.25">
      <c r="B47" s="44"/>
      <c r="C47" s="45"/>
    </row>
    <row r="48" spans="2:34" x14ac:dyDescent="0.25">
      <c r="B48" s="107" t="s">
        <v>192</v>
      </c>
      <c r="C48" s="108"/>
    </row>
    <row r="49" spans="2:3" x14ac:dyDescent="0.25">
      <c r="B49" s="42" t="s">
        <v>153</v>
      </c>
      <c r="C49" s="43" t="s">
        <v>193</v>
      </c>
    </row>
    <row r="50" spans="2:3" ht="15.75" thickBot="1" x14ac:dyDescent="0.3">
      <c r="B50" s="46" t="s">
        <v>154</v>
      </c>
      <c r="C50" s="47" t="s">
        <v>194</v>
      </c>
    </row>
  </sheetData>
  <phoneticPr fontId="6" type="noConversion"/>
  <pageMargins left="0.7" right="0.7" top="0.75" bottom="0.75" header="0.3" footer="0.3"/>
  <ignoredErrors>
    <ignoredError sqref="C19:AH19" formula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7"/>
  <sheetViews>
    <sheetView workbookViewId="0">
      <selection activeCell="C8" sqref="C8"/>
    </sheetView>
  </sheetViews>
  <sheetFormatPr defaultRowHeight="15" x14ac:dyDescent="0.25"/>
  <cols>
    <col min="1" max="1" width="98.7109375" customWidth="1"/>
    <col min="2" max="2" width="14.7109375" customWidth="1"/>
    <col min="3" max="3" width="20.7109375" customWidth="1"/>
    <col min="4" max="4" width="24.7109375" customWidth="1"/>
    <col min="5" max="5" width="76.7109375" customWidth="1"/>
    <col min="6" max="6" width="48.140625" customWidth="1"/>
  </cols>
  <sheetData>
    <row r="1" spans="1:15" x14ac:dyDescent="0.25">
      <c r="A1" s="75" t="s">
        <v>289</v>
      </c>
      <c r="E1" t="s">
        <v>13</v>
      </c>
    </row>
    <row r="2" spans="1:15" x14ac:dyDescent="0.25">
      <c r="A2" s="74" t="s">
        <v>300</v>
      </c>
    </row>
    <row r="3" spans="1:15" ht="45" x14ac:dyDescent="0.25">
      <c r="A3" t="s">
        <v>140</v>
      </c>
      <c r="B3" s="105" t="s">
        <v>11</v>
      </c>
      <c r="C3" s="105" t="s">
        <v>288</v>
      </c>
      <c r="D3" s="105" t="s">
        <v>12</v>
      </c>
    </row>
    <row r="4" spans="1:15" x14ac:dyDescent="0.25">
      <c r="B4" s="13"/>
    </row>
    <row r="5" spans="1:15" x14ac:dyDescent="0.25">
      <c r="A5" t="s">
        <v>86</v>
      </c>
      <c r="B5" s="97">
        <f>'BC Vacuumbeglazing'!C42</f>
        <v>0.15770413999550575</v>
      </c>
      <c r="C5" s="86"/>
      <c r="D5" s="86"/>
      <c r="E5" t="s">
        <v>81</v>
      </c>
    </row>
    <row r="6" spans="1:15" x14ac:dyDescent="0.25">
      <c r="B6" s="97"/>
      <c r="C6" s="86"/>
      <c r="D6" s="86"/>
    </row>
    <row r="7" spans="1:15" ht="30" x14ac:dyDescent="0.25">
      <c r="A7" s="40" t="s">
        <v>127</v>
      </c>
      <c r="B7" s="86"/>
      <c r="C7" s="86">
        <f>'BC Ecologische Isolatie'!B3*0.6</f>
        <v>0</v>
      </c>
      <c r="D7" s="86"/>
      <c r="E7" s="103" t="s">
        <v>125</v>
      </c>
    </row>
    <row r="8" spans="1:15" x14ac:dyDescent="0.25">
      <c r="A8" t="s">
        <v>88</v>
      </c>
      <c r="B8" s="86"/>
      <c r="C8" s="86">
        <f>'BC Vacuumbeglazing'!B4*1.9</f>
        <v>359.09999999999997</v>
      </c>
      <c r="D8" s="86"/>
      <c r="E8" t="s">
        <v>124</v>
      </c>
    </row>
    <row r="9" spans="1:15" x14ac:dyDescent="0.25">
      <c r="A9" t="s">
        <v>89</v>
      </c>
      <c r="B9" s="86"/>
      <c r="C9" s="86">
        <f>C7+C8</f>
        <v>359.09999999999997</v>
      </c>
      <c r="D9" s="86"/>
      <c r="E9" t="s">
        <v>126</v>
      </c>
    </row>
    <row r="10" spans="1:15" x14ac:dyDescent="0.25">
      <c r="B10" s="86"/>
      <c r="C10" s="86"/>
      <c r="D10" s="86"/>
    </row>
    <row r="11" spans="1:15" ht="30" x14ac:dyDescent="0.25">
      <c r="A11" t="s">
        <v>90</v>
      </c>
      <c r="B11" s="86"/>
      <c r="C11" s="86"/>
      <c r="D11" s="86" t="s">
        <v>78</v>
      </c>
      <c r="E11" s="104" t="s">
        <v>130</v>
      </c>
      <c r="F11" s="2" t="s">
        <v>159</v>
      </c>
    </row>
    <row r="12" spans="1:15" x14ac:dyDescent="0.25">
      <c r="A12" s="40"/>
      <c r="B12" s="86"/>
      <c r="C12" s="86"/>
      <c r="D12" s="86"/>
      <c r="E12" s="40" t="s">
        <v>158</v>
      </c>
      <c r="F12" s="116" t="s">
        <v>106</v>
      </c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25">
      <c r="B13" s="86"/>
      <c r="C13" s="98"/>
      <c r="D13" s="86"/>
      <c r="E13" s="38"/>
      <c r="F13" s="117" t="s">
        <v>93</v>
      </c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25">
      <c r="A14" s="40" t="s">
        <v>186</v>
      </c>
      <c r="B14" s="86">
        <v>2</v>
      </c>
      <c r="C14" s="86">
        <v>3</v>
      </c>
      <c r="D14" s="86">
        <v>4</v>
      </c>
      <c r="E14" s="40" t="s">
        <v>132</v>
      </c>
      <c r="F14" s="117" t="s">
        <v>94</v>
      </c>
      <c r="G14" s="33"/>
      <c r="H14" s="33"/>
      <c r="I14" s="33"/>
      <c r="J14" s="33"/>
      <c r="K14" s="33"/>
      <c r="L14" s="33"/>
      <c r="M14" s="33"/>
      <c r="N14" s="33"/>
      <c r="O14" s="33"/>
    </row>
    <row r="15" spans="1:15" x14ac:dyDescent="0.25">
      <c r="B15" s="86"/>
      <c r="C15" s="26"/>
      <c r="D15" s="86"/>
      <c r="E15" s="40" t="s">
        <v>82</v>
      </c>
      <c r="F15" s="117" t="s">
        <v>291</v>
      </c>
      <c r="G15" s="33"/>
      <c r="H15" s="33"/>
      <c r="I15" s="33"/>
      <c r="J15" s="33"/>
      <c r="K15" s="33"/>
      <c r="L15" s="33"/>
      <c r="M15" s="33"/>
      <c r="N15" s="33"/>
      <c r="O15" s="33"/>
    </row>
    <row r="16" spans="1:15" x14ac:dyDescent="0.25">
      <c r="B16" s="86"/>
      <c r="C16" s="26"/>
      <c r="D16" s="86"/>
      <c r="F16" s="16" t="s">
        <v>95</v>
      </c>
      <c r="G16" s="33"/>
      <c r="H16" s="33"/>
      <c r="I16" s="33"/>
      <c r="J16" s="33"/>
      <c r="K16" s="33"/>
      <c r="L16" s="33"/>
      <c r="M16" s="33"/>
      <c r="N16" s="33"/>
      <c r="O16" s="33"/>
    </row>
    <row r="17" spans="1:15" x14ac:dyDescent="0.25">
      <c r="A17" t="s">
        <v>131</v>
      </c>
      <c r="B17" s="99">
        <v>0.6</v>
      </c>
      <c r="C17" s="99">
        <v>0.1</v>
      </c>
      <c r="D17" s="99">
        <v>0.3</v>
      </c>
      <c r="E17" s="2" t="s">
        <v>84</v>
      </c>
      <c r="F17" s="48" t="s">
        <v>74</v>
      </c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8.75" x14ac:dyDescent="0.3">
      <c r="B18" s="99"/>
      <c r="C18" s="99"/>
      <c r="D18" s="99"/>
      <c r="E18" s="14"/>
      <c r="F18" s="16" t="s">
        <v>96</v>
      </c>
      <c r="G18" s="33"/>
      <c r="H18" s="33"/>
      <c r="I18" s="33"/>
      <c r="J18" s="33"/>
      <c r="K18" s="33"/>
      <c r="L18" s="33"/>
      <c r="M18" s="33"/>
      <c r="N18" s="33"/>
      <c r="O18" s="33"/>
    </row>
    <row r="19" spans="1:15" x14ac:dyDescent="0.25">
      <c r="A19" s="110" t="s">
        <v>128</v>
      </c>
      <c r="B19" s="115">
        <f>B14*B17+C14*C17+D14*D17</f>
        <v>2.7</v>
      </c>
      <c r="C19" s="86"/>
      <c r="D19" s="86"/>
      <c r="E19" s="40" t="s">
        <v>129</v>
      </c>
      <c r="F19" s="16" t="s">
        <v>97</v>
      </c>
      <c r="G19" s="33"/>
      <c r="H19" s="33"/>
      <c r="I19" s="33"/>
      <c r="J19" s="33"/>
      <c r="K19" s="33"/>
      <c r="L19" s="33"/>
      <c r="M19" s="33"/>
      <c r="N19" s="33"/>
      <c r="O19" s="33"/>
    </row>
    <row r="20" spans="1:15" x14ac:dyDescent="0.25">
      <c r="F20" s="48" t="s">
        <v>99</v>
      </c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5">
      <c r="F21" s="118" t="s">
        <v>292</v>
      </c>
      <c r="G21" s="33"/>
      <c r="H21" s="33"/>
      <c r="I21" s="33"/>
      <c r="J21" s="33"/>
      <c r="K21" s="33"/>
      <c r="L21" s="33"/>
      <c r="M21" s="33"/>
      <c r="N21" s="33"/>
      <c r="O21" s="33"/>
    </row>
    <row r="22" spans="1:15" x14ac:dyDescent="0.25">
      <c r="F22" s="48" t="s">
        <v>100</v>
      </c>
      <c r="G22" s="33"/>
      <c r="H22" s="33"/>
      <c r="I22" s="33"/>
      <c r="J22" s="33"/>
      <c r="K22" s="33"/>
      <c r="L22" s="33"/>
      <c r="M22" s="33"/>
      <c r="N22" s="33"/>
      <c r="O22" s="33"/>
    </row>
    <row r="23" spans="1:15" x14ac:dyDescent="0.25">
      <c r="F23" s="48" t="s">
        <v>101</v>
      </c>
      <c r="G23" s="33"/>
      <c r="H23" s="33"/>
      <c r="I23" s="33"/>
      <c r="J23" s="33"/>
      <c r="K23" s="33"/>
      <c r="L23" s="33"/>
      <c r="M23" s="33"/>
      <c r="N23" s="33"/>
      <c r="O23" s="33"/>
    </row>
    <row r="24" spans="1:15" x14ac:dyDescent="0.25">
      <c r="F24" s="118" t="s">
        <v>293</v>
      </c>
      <c r="G24" s="33"/>
      <c r="H24" s="33"/>
      <c r="I24" s="33"/>
      <c r="J24" s="33"/>
      <c r="K24" s="33"/>
      <c r="L24" s="33"/>
      <c r="M24" s="33"/>
      <c r="N24" s="33"/>
      <c r="O24" s="33"/>
    </row>
    <row r="25" spans="1:15" x14ac:dyDescent="0.25">
      <c r="F25" s="48" t="s">
        <v>98</v>
      </c>
      <c r="G25" s="33"/>
      <c r="H25" s="33"/>
      <c r="I25" s="33"/>
      <c r="J25" s="33"/>
      <c r="K25" s="33"/>
      <c r="L25" s="33"/>
      <c r="M25" s="33"/>
      <c r="N25" s="33"/>
      <c r="O25" s="33"/>
    </row>
    <row r="26" spans="1:15" x14ac:dyDescent="0.25">
      <c r="F26" s="48" t="s">
        <v>102</v>
      </c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5.75" x14ac:dyDescent="0.25">
      <c r="F27" s="32" t="s">
        <v>77</v>
      </c>
      <c r="G27" s="33"/>
      <c r="H27" s="33"/>
      <c r="I27" s="33"/>
      <c r="J27" s="33"/>
      <c r="K27" s="33"/>
      <c r="L27" s="33"/>
      <c r="M27" s="33"/>
      <c r="N27" s="33"/>
      <c r="O27" s="3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46"/>
  <sheetViews>
    <sheetView zoomScaleNormal="100" workbookViewId="0">
      <selection activeCell="B8" sqref="B8"/>
    </sheetView>
  </sheetViews>
  <sheetFormatPr defaultRowHeight="15" x14ac:dyDescent="0.25"/>
  <cols>
    <col min="1" max="1" width="17.28515625" bestFit="1" customWidth="1"/>
    <col min="2" max="2" width="85.7109375" customWidth="1"/>
    <col min="3" max="3" width="12.7109375" customWidth="1"/>
    <col min="4" max="4" width="16.7109375" customWidth="1"/>
    <col min="5" max="29" width="12.7109375" customWidth="1"/>
    <col min="30" max="45" width="11" customWidth="1"/>
  </cols>
  <sheetData>
    <row r="1" spans="1:29" s="113" customFormat="1" x14ac:dyDescent="0.25">
      <c r="B1" s="112" t="s">
        <v>162</v>
      </c>
      <c r="C1" s="89" t="s">
        <v>0</v>
      </c>
      <c r="D1" s="89" t="s">
        <v>226</v>
      </c>
      <c r="E1" s="89" t="s">
        <v>227</v>
      </c>
      <c r="F1" s="89" t="s">
        <v>228</v>
      </c>
      <c r="G1" s="89" t="s">
        <v>229</v>
      </c>
      <c r="H1" s="89" t="s">
        <v>230</v>
      </c>
      <c r="I1" s="89" t="s">
        <v>231</v>
      </c>
      <c r="J1" s="89" t="s">
        <v>232</v>
      </c>
      <c r="K1" s="89" t="s">
        <v>233</v>
      </c>
      <c r="L1" s="89" t="s">
        <v>234</v>
      </c>
      <c r="M1" s="89" t="s">
        <v>235</v>
      </c>
      <c r="N1" s="89" t="s">
        <v>236</v>
      </c>
      <c r="O1" s="89" t="s">
        <v>237</v>
      </c>
      <c r="P1" s="89" t="s">
        <v>238</v>
      </c>
      <c r="Q1" s="89" t="s">
        <v>239</v>
      </c>
      <c r="R1" s="89" t="s">
        <v>240</v>
      </c>
      <c r="S1" s="89" t="s">
        <v>241</v>
      </c>
      <c r="T1" s="89" t="s">
        <v>242</v>
      </c>
      <c r="U1" s="89" t="s">
        <v>243</v>
      </c>
      <c r="V1" s="89" t="s">
        <v>244</v>
      </c>
      <c r="W1" s="89" t="s">
        <v>245</v>
      </c>
      <c r="X1" s="89" t="s">
        <v>246</v>
      </c>
      <c r="Y1" s="89" t="s">
        <v>247</v>
      </c>
      <c r="Z1" s="89" t="s">
        <v>248</v>
      </c>
      <c r="AA1" s="89" t="s">
        <v>249</v>
      </c>
      <c r="AB1" s="89" t="s">
        <v>250</v>
      </c>
      <c r="AC1" s="89" t="s">
        <v>251</v>
      </c>
    </row>
    <row r="2" spans="1:29" x14ac:dyDescent="0.25">
      <c r="B2" t="s">
        <v>163</v>
      </c>
    </row>
    <row r="3" spans="1:29" x14ac:dyDescent="0.25">
      <c r="A3" t="s">
        <v>307</v>
      </c>
      <c r="B3" s="113">
        <v>2200</v>
      </c>
    </row>
    <row r="4" spans="1:29" x14ac:dyDescent="0.25">
      <c r="A4" t="s">
        <v>308</v>
      </c>
      <c r="B4" s="113">
        <v>0</v>
      </c>
    </row>
    <row r="5" spans="1:29" x14ac:dyDescent="0.25">
      <c r="A5" t="s">
        <v>286</v>
      </c>
      <c r="B5" s="113">
        <v>0.22</v>
      </c>
    </row>
    <row r="6" spans="1:29" x14ac:dyDescent="0.25">
      <c r="A6" t="s">
        <v>287</v>
      </c>
      <c r="B6" s="113">
        <v>0.8</v>
      </c>
    </row>
    <row r="7" spans="1:29" x14ac:dyDescent="0.25">
      <c r="B7" s="1"/>
      <c r="C7" s="82"/>
      <c r="D7" s="82"/>
      <c r="E7" s="82"/>
      <c r="F7" s="82"/>
      <c r="G7" s="82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x14ac:dyDescent="0.25">
      <c r="B8" s="28" t="s">
        <v>214</v>
      </c>
      <c r="C8" s="5">
        <f>$B3*$B5</f>
        <v>484</v>
      </c>
      <c r="D8" s="5">
        <f t="shared" ref="D8:AA8" si="0">$B3*$B5</f>
        <v>484</v>
      </c>
      <c r="E8" s="5">
        <f t="shared" si="0"/>
        <v>484</v>
      </c>
      <c r="F8" s="5">
        <f t="shared" si="0"/>
        <v>484</v>
      </c>
      <c r="G8" s="5">
        <f t="shared" si="0"/>
        <v>484</v>
      </c>
      <c r="H8" s="5">
        <f t="shared" si="0"/>
        <v>484</v>
      </c>
      <c r="I8" s="5">
        <f t="shared" si="0"/>
        <v>484</v>
      </c>
      <c r="J8" s="5">
        <f t="shared" si="0"/>
        <v>484</v>
      </c>
      <c r="K8" s="5">
        <f t="shared" si="0"/>
        <v>484</v>
      </c>
      <c r="L8" s="5">
        <f t="shared" si="0"/>
        <v>484</v>
      </c>
      <c r="M8" s="5">
        <f t="shared" si="0"/>
        <v>484</v>
      </c>
      <c r="N8" s="5">
        <f t="shared" si="0"/>
        <v>484</v>
      </c>
      <c r="O8" s="5">
        <f t="shared" si="0"/>
        <v>484</v>
      </c>
      <c r="P8" s="5">
        <f t="shared" si="0"/>
        <v>484</v>
      </c>
      <c r="Q8" s="5">
        <f t="shared" si="0"/>
        <v>484</v>
      </c>
      <c r="R8" s="5">
        <f t="shared" si="0"/>
        <v>484</v>
      </c>
      <c r="S8" s="5">
        <f t="shared" si="0"/>
        <v>484</v>
      </c>
      <c r="T8" s="5">
        <f t="shared" si="0"/>
        <v>484</v>
      </c>
      <c r="U8" s="5">
        <f t="shared" si="0"/>
        <v>484</v>
      </c>
      <c r="V8" s="5">
        <f t="shared" si="0"/>
        <v>484</v>
      </c>
      <c r="W8" s="5">
        <f t="shared" si="0"/>
        <v>484</v>
      </c>
      <c r="X8" s="5">
        <f t="shared" si="0"/>
        <v>484</v>
      </c>
      <c r="Y8" s="5">
        <f t="shared" si="0"/>
        <v>484</v>
      </c>
      <c r="Z8" s="5">
        <f t="shared" si="0"/>
        <v>484</v>
      </c>
      <c r="AA8" s="5">
        <f t="shared" si="0"/>
        <v>484</v>
      </c>
      <c r="AB8" s="5"/>
      <c r="AC8" s="5"/>
    </row>
    <row r="9" spans="1:29" x14ac:dyDescent="0.25">
      <c r="B9" t="s">
        <v>54</v>
      </c>
      <c r="C9" s="6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/>
      <c r="S9" s="6"/>
      <c r="T9" s="6"/>
      <c r="U9" s="6"/>
      <c r="V9" s="6"/>
      <c r="W9" s="6"/>
      <c r="X9" s="6"/>
      <c r="Y9" s="6"/>
      <c r="Z9" s="6"/>
      <c r="AA9" s="6"/>
      <c r="AB9" s="5"/>
      <c r="AC9" s="5"/>
    </row>
    <row r="10" spans="1:29" x14ac:dyDescent="0.25">
      <c r="B10" t="s">
        <v>55</v>
      </c>
      <c r="C10" s="6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5"/>
      <c r="AC10" s="5"/>
    </row>
    <row r="11" spans="1:29" x14ac:dyDescent="0.25">
      <c r="B11" t="s">
        <v>46</v>
      </c>
      <c r="C11" s="6">
        <v>50</v>
      </c>
      <c r="D11" s="6">
        <v>50</v>
      </c>
      <c r="E11" s="6">
        <v>50</v>
      </c>
      <c r="F11" s="6">
        <v>50</v>
      </c>
      <c r="G11" s="6">
        <v>50</v>
      </c>
      <c r="H11" s="6">
        <v>50</v>
      </c>
      <c r="I11" s="6">
        <v>50</v>
      </c>
      <c r="J11" s="6">
        <v>50</v>
      </c>
      <c r="K11" s="6">
        <v>50</v>
      </c>
      <c r="L11" s="6">
        <v>50</v>
      </c>
      <c r="M11" s="6">
        <v>50</v>
      </c>
      <c r="N11" s="6">
        <v>50</v>
      </c>
      <c r="O11" s="6">
        <v>50</v>
      </c>
      <c r="P11" s="6">
        <v>50</v>
      </c>
      <c r="Q11" s="6">
        <v>50</v>
      </c>
      <c r="R11" s="6">
        <v>50</v>
      </c>
      <c r="S11" s="6">
        <v>50</v>
      </c>
      <c r="T11" s="6">
        <v>50</v>
      </c>
      <c r="U11" s="6">
        <v>50</v>
      </c>
      <c r="V11" s="6">
        <v>50</v>
      </c>
      <c r="W11" s="6">
        <v>50</v>
      </c>
      <c r="X11" s="6">
        <v>50</v>
      </c>
      <c r="Y11" s="6">
        <v>50</v>
      </c>
      <c r="Z11" s="6">
        <v>50</v>
      </c>
      <c r="AA11" s="6">
        <v>50</v>
      </c>
      <c r="AB11" s="6"/>
      <c r="AC11" s="6"/>
    </row>
    <row r="12" spans="1:29" x14ac:dyDescent="0.25">
      <c r="B12" t="s">
        <v>19</v>
      </c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5"/>
      <c r="AC12" s="5"/>
    </row>
    <row r="13" spans="1:29" x14ac:dyDescent="0.25">
      <c r="B13" t="s">
        <v>21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</row>
    <row r="14" spans="1:29" x14ac:dyDescent="0.25">
      <c r="B14" s="1" t="s">
        <v>1</v>
      </c>
      <c r="C14" s="5">
        <f>C8-SUM(C9:C13)</f>
        <v>434</v>
      </c>
      <c r="D14" s="5">
        <f>D8-SUM(D9:D13)</f>
        <v>434</v>
      </c>
      <c r="E14" s="5">
        <f>E8-SUM(E9:E13)</f>
        <v>434</v>
      </c>
      <c r="F14" s="5">
        <f>F8-SUM(F9:F13)</f>
        <v>434</v>
      </c>
      <c r="G14" s="5">
        <f>G8-SUM(G9:G13)</f>
        <v>434</v>
      </c>
      <c r="H14" s="5">
        <f t="shared" ref="H14:AA14" si="1">H8-SUM(H9:H13)</f>
        <v>434</v>
      </c>
      <c r="I14" s="5">
        <f t="shared" si="1"/>
        <v>434</v>
      </c>
      <c r="J14" s="5">
        <f t="shared" si="1"/>
        <v>434</v>
      </c>
      <c r="K14" s="5">
        <f t="shared" si="1"/>
        <v>434</v>
      </c>
      <c r="L14" s="5">
        <f t="shared" si="1"/>
        <v>434</v>
      </c>
      <c r="M14" s="5">
        <f t="shared" si="1"/>
        <v>434</v>
      </c>
      <c r="N14" s="5">
        <f t="shared" si="1"/>
        <v>434</v>
      </c>
      <c r="O14" s="5">
        <f t="shared" si="1"/>
        <v>434</v>
      </c>
      <c r="P14" s="5">
        <f t="shared" si="1"/>
        <v>434</v>
      </c>
      <c r="Q14" s="5">
        <f t="shared" si="1"/>
        <v>434</v>
      </c>
      <c r="R14" s="5">
        <f t="shared" si="1"/>
        <v>434</v>
      </c>
      <c r="S14" s="5">
        <f t="shared" si="1"/>
        <v>434</v>
      </c>
      <c r="T14" s="5">
        <f t="shared" si="1"/>
        <v>434</v>
      </c>
      <c r="U14" s="5">
        <f t="shared" si="1"/>
        <v>434</v>
      </c>
      <c r="V14" s="5">
        <f t="shared" si="1"/>
        <v>434</v>
      </c>
      <c r="W14" s="5">
        <f t="shared" si="1"/>
        <v>434</v>
      </c>
      <c r="X14" s="5">
        <f t="shared" si="1"/>
        <v>434</v>
      </c>
      <c r="Y14" s="5">
        <f t="shared" si="1"/>
        <v>434</v>
      </c>
      <c r="Z14" s="5">
        <f t="shared" si="1"/>
        <v>434</v>
      </c>
      <c r="AA14" s="5">
        <f t="shared" si="1"/>
        <v>434</v>
      </c>
      <c r="AB14" s="5"/>
      <c r="AC14" s="5"/>
    </row>
    <row r="15" spans="1:29" x14ac:dyDescent="0.25">
      <c r="B15" t="s">
        <v>59</v>
      </c>
      <c r="C15" s="6">
        <f>$C29/25</f>
        <v>99</v>
      </c>
      <c r="D15" s="6">
        <f t="shared" ref="D15:AA15" si="2">$C29/25</f>
        <v>99</v>
      </c>
      <c r="E15" s="6">
        <f t="shared" si="2"/>
        <v>99</v>
      </c>
      <c r="F15" s="6">
        <f t="shared" si="2"/>
        <v>99</v>
      </c>
      <c r="G15" s="6">
        <f t="shared" si="2"/>
        <v>99</v>
      </c>
      <c r="H15" s="6">
        <f t="shared" si="2"/>
        <v>99</v>
      </c>
      <c r="I15" s="6">
        <f t="shared" si="2"/>
        <v>99</v>
      </c>
      <c r="J15" s="6">
        <f t="shared" si="2"/>
        <v>99</v>
      </c>
      <c r="K15" s="6">
        <f t="shared" si="2"/>
        <v>99</v>
      </c>
      <c r="L15" s="6">
        <f t="shared" si="2"/>
        <v>99</v>
      </c>
      <c r="M15" s="6">
        <f t="shared" si="2"/>
        <v>99</v>
      </c>
      <c r="N15" s="6">
        <f t="shared" si="2"/>
        <v>99</v>
      </c>
      <c r="O15" s="6">
        <f t="shared" si="2"/>
        <v>99</v>
      </c>
      <c r="P15" s="6">
        <f t="shared" si="2"/>
        <v>99</v>
      </c>
      <c r="Q15" s="6">
        <f t="shared" si="2"/>
        <v>99</v>
      </c>
      <c r="R15" s="6">
        <f t="shared" si="2"/>
        <v>99</v>
      </c>
      <c r="S15" s="6">
        <f t="shared" si="2"/>
        <v>99</v>
      </c>
      <c r="T15" s="6">
        <f t="shared" si="2"/>
        <v>99</v>
      </c>
      <c r="U15" s="6">
        <f t="shared" si="2"/>
        <v>99</v>
      </c>
      <c r="V15" s="6">
        <f t="shared" si="2"/>
        <v>99</v>
      </c>
      <c r="W15" s="6">
        <f t="shared" si="2"/>
        <v>99</v>
      </c>
      <c r="X15" s="6">
        <f t="shared" si="2"/>
        <v>99</v>
      </c>
      <c r="Y15" s="6">
        <f t="shared" si="2"/>
        <v>99</v>
      </c>
      <c r="Z15" s="6">
        <f t="shared" si="2"/>
        <v>99</v>
      </c>
      <c r="AA15" s="6">
        <f t="shared" si="2"/>
        <v>99</v>
      </c>
      <c r="AB15" s="6"/>
      <c r="AC15" s="6"/>
    </row>
    <row r="16" spans="1:29" x14ac:dyDescent="0.25">
      <c r="B16" s="1" t="s">
        <v>2</v>
      </c>
      <c r="C16" s="5">
        <f t="shared" ref="C16:AA16" si="3">C14-C15</f>
        <v>335</v>
      </c>
      <c r="D16" s="5">
        <f t="shared" si="3"/>
        <v>335</v>
      </c>
      <c r="E16" s="5">
        <f t="shared" si="3"/>
        <v>335</v>
      </c>
      <c r="F16" s="5">
        <f t="shared" si="3"/>
        <v>335</v>
      </c>
      <c r="G16" s="5">
        <f t="shared" si="3"/>
        <v>335</v>
      </c>
      <c r="H16" s="5">
        <f t="shared" si="3"/>
        <v>335</v>
      </c>
      <c r="I16" s="5">
        <f t="shared" si="3"/>
        <v>335</v>
      </c>
      <c r="J16" s="5">
        <f t="shared" si="3"/>
        <v>335</v>
      </c>
      <c r="K16" s="5">
        <f t="shared" si="3"/>
        <v>335</v>
      </c>
      <c r="L16" s="5">
        <f t="shared" si="3"/>
        <v>335</v>
      </c>
      <c r="M16" s="5">
        <f t="shared" si="3"/>
        <v>335</v>
      </c>
      <c r="N16" s="5">
        <f t="shared" si="3"/>
        <v>335</v>
      </c>
      <c r="O16" s="5">
        <f t="shared" si="3"/>
        <v>335</v>
      </c>
      <c r="P16" s="5">
        <f t="shared" si="3"/>
        <v>335</v>
      </c>
      <c r="Q16" s="5">
        <f t="shared" si="3"/>
        <v>335</v>
      </c>
      <c r="R16" s="5">
        <f t="shared" si="3"/>
        <v>335</v>
      </c>
      <c r="S16" s="5">
        <f t="shared" si="3"/>
        <v>335</v>
      </c>
      <c r="T16" s="5">
        <f t="shared" si="3"/>
        <v>335</v>
      </c>
      <c r="U16" s="5">
        <f t="shared" si="3"/>
        <v>335</v>
      </c>
      <c r="V16" s="5">
        <f t="shared" si="3"/>
        <v>335</v>
      </c>
      <c r="W16" s="5">
        <f t="shared" si="3"/>
        <v>335</v>
      </c>
      <c r="X16" s="5">
        <f t="shared" si="3"/>
        <v>335</v>
      </c>
      <c r="Y16" s="5">
        <f t="shared" si="3"/>
        <v>335</v>
      </c>
      <c r="Z16" s="5">
        <f t="shared" si="3"/>
        <v>335</v>
      </c>
      <c r="AA16" s="5">
        <f t="shared" si="3"/>
        <v>335</v>
      </c>
      <c r="AB16" s="5"/>
      <c r="AC16" s="5"/>
    </row>
    <row r="17" spans="2:29" x14ac:dyDescent="0.25">
      <c r="B17" t="s">
        <v>23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5"/>
      <c r="AC17" s="5"/>
    </row>
    <row r="18" spans="2:29" x14ac:dyDescent="0.25">
      <c r="B18" s="1" t="s">
        <v>3</v>
      </c>
      <c r="C18" s="5">
        <f t="shared" ref="C18:AA18" si="4">C16-C17</f>
        <v>335</v>
      </c>
      <c r="D18" s="5">
        <f t="shared" si="4"/>
        <v>335</v>
      </c>
      <c r="E18" s="5">
        <f t="shared" si="4"/>
        <v>335</v>
      </c>
      <c r="F18" s="5">
        <f t="shared" si="4"/>
        <v>335</v>
      </c>
      <c r="G18" s="5">
        <f t="shared" si="4"/>
        <v>335</v>
      </c>
      <c r="H18" s="5">
        <f t="shared" si="4"/>
        <v>335</v>
      </c>
      <c r="I18" s="5">
        <f t="shared" si="4"/>
        <v>335</v>
      </c>
      <c r="J18" s="5">
        <f t="shared" si="4"/>
        <v>335</v>
      </c>
      <c r="K18" s="5">
        <f t="shared" si="4"/>
        <v>335</v>
      </c>
      <c r="L18" s="5">
        <f t="shared" si="4"/>
        <v>335</v>
      </c>
      <c r="M18" s="5">
        <f t="shared" si="4"/>
        <v>335</v>
      </c>
      <c r="N18" s="5">
        <f t="shared" si="4"/>
        <v>335</v>
      </c>
      <c r="O18" s="5">
        <f t="shared" si="4"/>
        <v>335</v>
      </c>
      <c r="P18" s="5">
        <f t="shared" si="4"/>
        <v>335</v>
      </c>
      <c r="Q18" s="5">
        <f t="shared" si="4"/>
        <v>335</v>
      </c>
      <c r="R18" s="5">
        <f t="shared" si="4"/>
        <v>335</v>
      </c>
      <c r="S18" s="5">
        <f t="shared" si="4"/>
        <v>335</v>
      </c>
      <c r="T18" s="5">
        <f t="shared" si="4"/>
        <v>335</v>
      </c>
      <c r="U18" s="5">
        <f t="shared" si="4"/>
        <v>335</v>
      </c>
      <c r="V18" s="5">
        <f t="shared" si="4"/>
        <v>335</v>
      </c>
      <c r="W18" s="5">
        <f t="shared" si="4"/>
        <v>335</v>
      </c>
      <c r="X18" s="5">
        <f t="shared" si="4"/>
        <v>335</v>
      </c>
      <c r="Y18" s="5">
        <f t="shared" si="4"/>
        <v>335</v>
      </c>
      <c r="Z18" s="5">
        <f t="shared" si="4"/>
        <v>335</v>
      </c>
      <c r="AA18" s="5">
        <f t="shared" si="4"/>
        <v>335</v>
      </c>
      <c r="AB18" s="5"/>
      <c r="AC18" s="5"/>
    </row>
    <row r="19" spans="2:29" x14ac:dyDescent="0.25">
      <c r="B19" t="s">
        <v>20</v>
      </c>
      <c r="C19" s="6">
        <f t="shared" ref="C19:AA19" si="5">0.25*C18</f>
        <v>83.75</v>
      </c>
      <c r="D19" s="6">
        <f t="shared" si="5"/>
        <v>83.75</v>
      </c>
      <c r="E19" s="6">
        <f>0.25*E18</f>
        <v>83.75</v>
      </c>
      <c r="F19" s="6">
        <f t="shared" si="5"/>
        <v>83.75</v>
      </c>
      <c r="G19" s="6">
        <f t="shared" si="5"/>
        <v>83.75</v>
      </c>
      <c r="H19" s="6">
        <f t="shared" si="5"/>
        <v>83.75</v>
      </c>
      <c r="I19" s="6">
        <f t="shared" si="5"/>
        <v>83.75</v>
      </c>
      <c r="J19" s="6">
        <f t="shared" si="5"/>
        <v>83.75</v>
      </c>
      <c r="K19" s="6">
        <f t="shared" si="5"/>
        <v>83.75</v>
      </c>
      <c r="L19" s="6">
        <f t="shared" si="5"/>
        <v>83.75</v>
      </c>
      <c r="M19" s="6">
        <f t="shared" si="5"/>
        <v>83.75</v>
      </c>
      <c r="N19" s="6">
        <f t="shared" si="5"/>
        <v>83.75</v>
      </c>
      <c r="O19" s="6">
        <f t="shared" si="5"/>
        <v>83.75</v>
      </c>
      <c r="P19" s="6">
        <f t="shared" si="5"/>
        <v>83.75</v>
      </c>
      <c r="Q19" s="6">
        <f t="shared" si="5"/>
        <v>83.75</v>
      </c>
      <c r="R19" s="6">
        <f t="shared" si="5"/>
        <v>83.75</v>
      </c>
      <c r="S19" s="6">
        <f t="shared" si="5"/>
        <v>83.75</v>
      </c>
      <c r="T19" s="6">
        <f t="shared" si="5"/>
        <v>83.75</v>
      </c>
      <c r="U19" s="6">
        <f t="shared" si="5"/>
        <v>83.75</v>
      </c>
      <c r="V19" s="6">
        <f t="shared" si="5"/>
        <v>83.75</v>
      </c>
      <c r="W19" s="6">
        <f t="shared" si="5"/>
        <v>83.75</v>
      </c>
      <c r="X19" s="6">
        <f t="shared" si="5"/>
        <v>83.75</v>
      </c>
      <c r="Y19" s="6">
        <f t="shared" si="5"/>
        <v>83.75</v>
      </c>
      <c r="Z19" s="6">
        <f t="shared" si="5"/>
        <v>83.75</v>
      </c>
      <c r="AA19" s="6">
        <f t="shared" si="5"/>
        <v>83.75</v>
      </c>
      <c r="AB19" s="6"/>
      <c r="AC19" s="6"/>
    </row>
    <row r="20" spans="2:29" x14ac:dyDescent="0.25">
      <c r="B20" s="1" t="s">
        <v>4</v>
      </c>
      <c r="C20" s="5">
        <f t="shared" ref="C20:AA20" si="6">C18-C19</f>
        <v>251.25</v>
      </c>
      <c r="D20" s="5">
        <f t="shared" si="6"/>
        <v>251.25</v>
      </c>
      <c r="E20" s="5">
        <f t="shared" si="6"/>
        <v>251.25</v>
      </c>
      <c r="F20" s="5">
        <f t="shared" si="6"/>
        <v>251.25</v>
      </c>
      <c r="G20" s="5">
        <f t="shared" si="6"/>
        <v>251.25</v>
      </c>
      <c r="H20" s="5">
        <f t="shared" si="6"/>
        <v>251.25</v>
      </c>
      <c r="I20" s="5">
        <f t="shared" si="6"/>
        <v>251.25</v>
      </c>
      <c r="J20" s="5">
        <f t="shared" si="6"/>
        <v>251.25</v>
      </c>
      <c r="K20" s="5">
        <f t="shared" si="6"/>
        <v>251.25</v>
      </c>
      <c r="L20" s="5">
        <f t="shared" si="6"/>
        <v>251.25</v>
      </c>
      <c r="M20" s="5">
        <f t="shared" si="6"/>
        <v>251.25</v>
      </c>
      <c r="N20" s="5">
        <f t="shared" si="6"/>
        <v>251.25</v>
      </c>
      <c r="O20" s="5">
        <f t="shared" si="6"/>
        <v>251.25</v>
      </c>
      <c r="P20" s="5">
        <f t="shared" si="6"/>
        <v>251.25</v>
      </c>
      <c r="Q20" s="5">
        <f t="shared" si="6"/>
        <v>251.25</v>
      </c>
      <c r="R20" s="5">
        <f t="shared" si="6"/>
        <v>251.25</v>
      </c>
      <c r="S20" s="5">
        <f t="shared" si="6"/>
        <v>251.25</v>
      </c>
      <c r="T20" s="5">
        <f t="shared" si="6"/>
        <v>251.25</v>
      </c>
      <c r="U20" s="5">
        <f t="shared" si="6"/>
        <v>251.25</v>
      </c>
      <c r="V20" s="5">
        <f t="shared" si="6"/>
        <v>251.25</v>
      </c>
      <c r="W20" s="5">
        <f t="shared" si="6"/>
        <v>251.25</v>
      </c>
      <c r="X20" s="5">
        <f t="shared" si="6"/>
        <v>251.25</v>
      </c>
      <c r="Y20" s="5">
        <f t="shared" si="6"/>
        <v>251.25</v>
      </c>
      <c r="Z20" s="5">
        <f t="shared" si="6"/>
        <v>251.25</v>
      </c>
      <c r="AA20" s="5">
        <f t="shared" si="6"/>
        <v>251.25</v>
      </c>
      <c r="AB20" s="5"/>
      <c r="AC20" s="5"/>
    </row>
    <row r="21" spans="2:29" x14ac:dyDescent="0.25">
      <c r="B21" s="2" t="s">
        <v>57</v>
      </c>
      <c r="C21" s="6">
        <f t="shared" ref="C21:AA21" si="7">C15</f>
        <v>99</v>
      </c>
      <c r="D21" s="6">
        <f t="shared" si="7"/>
        <v>99</v>
      </c>
      <c r="E21" s="6">
        <f t="shared" si="7"/>
        <v>99</v>
      </c>
      <c r="F21" s="6">
        <f t="shared" si="7"/>
        <v>99</v>
      </c>
      <c r="G21" s="6">
        <f t="shared" si="7"/>
        <v>99</v>
      </c>
      <c r="H21" s="6">
        <f t="shared" si="7"/>
        <v>99</v>
      </c>
      <c r="I21" s="6">
        <f t="shared" si="7"/>
        <v>99</v>
      </c>
      <c r="J21" s="6">
        <f t="shared" si="7"/>
        <v>99</v>
      </c>
      <c r="K21" s="6">
        <f t="shared" si="7"/>
        <v>99</v>
      </c>
      <c r="L21" s="6">
        <f t="shared" si="7"/>
        <v>99</v>
      </c>
      <c r="M21" s="6">
        <f t="shared" si="7"/>
        <v>99</v>
      </c>
      <c r="N21" s="6">
        <f t="shared" si="7"/>
        <v>99</v>
      </c>
      <c r="O21" s="6">
        <f t="shared" si="7"/>
        <v>99</v>
      </c>
      <c r="P21" s="6">
        <f t="shared" si="7"/>
        <v>99</v>
      </c>
      <c r="Q21" s="6">
        <f t="shared" si="7"/>
        <v>99</v>
      </c>
      <c r="R21" s="6">
        <f t="shared" si="7"/>
        <v>99</v>
      </c>
      <c r="S21" s="6">
        <f t="shared" si="7"/>
        <v>99</v>
      </c>
      <c r="T21" s="6">
        <f t="shared" si="7"/>
        <v>99</v>
      </c>
      <c r="U21" s="6">
        <f t="shared" si="7"/>
        <v>99</v>
      </c>
      <c r="V21" s="6">
        <f t="shared" si="7"/>
        <v>99</v>
      </c>
      <c r="W21" s="6">
        <f t="shared" si="7"/>
        <v>99</v>
      </c>
      <c r="X21" s="6">
        <f t="shared" si="7"/>
        <v>99</v>
      </c>
      <c r="Y21" s="6">
        <f t="shared" si="7"/>
        <v>99</v>
      </c>
      <c r="Z21" s="6">
        <f t="shared" si="7"/>
        <v>99</v>
      </c>
      <c r="AA21" s="6">
        <f t="shared" si="7"/>
        <v>99</v>
      </c>
      <c r="AB21" s="6"/>
      <c r="AC21" s="6"/>
    </row>
    <row r="22" spans="2:29" x14ac:dyDescent="0.25">
      <c r="B22" s="2" t="s">
        <v>45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/>
      <c r="S22" s="6"/>
      <c r="T22" s="6"/>
      <c r="U22" s="6"/>
      <c r="V22" s="6"/>
      <c r="W22" s="6"/>
      <c r="X22" s="6"/>
      <c r="Y22" s="6"/>
      <c r="Z22" s="6"/>
      <c r="AA22" s="5"/>
      <c r="AB22" s="5"/>
      <c r="AC22" s="5"/>
    </row>
    <row r="23" spans="2:29" x14ac:dyDescent="0.25">
      <c r="B23" s="37" t="s">
        <v>115</v>
      </c>
      <c r="C23" s="6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5"/>
      <c r="AC23" s="5"/>
    </row>
    <row r="24" spans="2:29" x14ac:dyDescent="0.25">
      <c r="B24" s="2" t="s">
        <v>33</v>
      </c>
      <c r="C24" s="6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5"/>
      <c r="AC24" s="5"/>
    </row>
    <row r="25" spans="2:29" x14ac:dyDescent="0.25">
      <c r="B25" s="1" t="s">
        <v>5</v>
      </c>
      <c r="C25" s="5">
        <f t="shared" ref="C25:AC25" si="8">C20+SUM(C21:C24)</f>
        <v>350.25</v>
      </c>
      <c r="D25" s="5">
        <f t="shared" si="8"/>
        <v>350.25</v>
      </c>
      <c r="E25" s="5">
        <f t="shared" si="8"/>
        <v>350.25</v>
      </c>
      <c r="F25" s="5">
        <f t="shared" si="8"/>
        <v>350.25</v>
      </c>
      <c r="G25" s="5">
        <f t="shared" si="8"/>
        <v>350.25</v>
      </c>
      <c r="H25" s="5">
        <f t="shared" si="8"/>
        <v>350.25</v>
      </c>
      <c r="I25" s="5">
        <f t="shared" si="8"/>
        <v>350.25</v>
      </c>
      <c r="J25" s="5">
        <f t="shared" si="8"/>
        <v>350.25</v>
      </c>
      <c r="K25" s="5">
        <f t="shared" si="8"/>
        <v>350.25</v>
      </c>
      <c r="L25" s="5">
        <f t="shared" si="8"/>
        <v>350.25</v>
      </c>
      <c r="M25" s="5">
        <f t="shared" si="8"/>
        <v>350.25</v>
      </c>
      <c r="N25" s="5">
        <f t="shared" si="8"/>
        <v>350.25</v>
      </c>
      <c r="O25" s="5">
        <f t="shared" si="8"/>
        <v>350.25</v>
      </c>
      <c r="P25" s="5">
        <f t="shared" si="8"/>
        <v>350.25</v>
      </c>
      <c r="Q25" s="5">
        <f t="shared" si="8"/>
        <v>350.25</v>
      </c>
      <c r="R25" s="5">
        <f t="shared" si="8"/>
        <v>350.25</v>
      </c>
      <c r="S25" s="5">
        <f t="shared" si="8"/>
        <v>350.25</v>
      </c>
      <c r="T25" s="5">
        <f t="shared" si="8"/>
        <v>350.25</v>
      </c>
      <c r="U25" s="5">
        <f t="shared" si="8"/>
        <v>350.25</v>
      </c>
      <c r="V25" s="5">
        <f t="shared" si="8"/>
        <v>350.25</v>
      </c>
      <c r="W25" s="5">
        <f t="shared" si="8"/>
        <v>350.25</v>
      </c>
      <c r="X25" s="5">
        <f t="shared" si="8"/>
        <v>350.25</v>
      </c>
      <c r="Y25" s="5">
        <f t="shared" si="8"/>
        <v>350.25</v>
      </c>
      <c r="Z25" s="5">
        <f t="shared" si="8"/>
        <v>350.25</v>
      </c>
      <c r="AA25" s="5">
        <f t="shared" si="8"/>
        <v>350.25</v>
      </c>
      <c r="AB25" s="5">
        <f t="shared" si="8"/>
        <v>0</v>
      </c>
      <c r="AC25" s="5">
        <f t="shared" si="8"/>
        <v>0</v>
      </c>
    </row>
    <row r="26" spans="2:29" x14ac:dyDescent="0.25"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2:29" x14ac:dyDescent="0.25">
      <c r="B27" s="21" t="s">
        <v>27</v>
      </c>
      <c r="C27" s="21"/>
      <c r="D27" s="21" t="s">
        <v>44</v>
      </c>
      <c r="E27" s="90" t="s">
        <v>0</v>
      </c>
      <c r="F27" s="90" t="s">
        <v>226</v>
      </c>
      <c r="G27" s="90" t="s">
        <v>227</v>
      </c>
      <c r="H27" s="90" t="s">
        <v>228</v>
      </c>
      <c r="I27" s="90" t="s">
        <v>229</v>
      </c>
      <c r="J27" s="90" t="s">
        <v>230</v>
      </c>
      <c r="K27" s="90" t="s">
        <v>231</v>
      </c>
      <c r="L27" s="90" t="s">
        <v>232</v>
      </c>
      <c r="M27" s="90" t="s">
        <v>233</v>
      </c>
      <c r="N27" s="90" t="s">
        <v>234</v>
      </c>
      <c r="O27" s="90" t="s">
        <v>235</v>
      </c>
      <c r="P27" s="90" t="s">
        <v>236</v>
      </c>
      <c r="Q27" s="90" t="s">
        <v>237</v>
      </c>
      <c r="R27" s="90" t="s">
        <v>238</v>
      </c>
      <c r="S27" s="90" t="s">
        <v>239</v>
      </c>
      <c r="T27" s="90" t="s">
        <v>240</v>
      </c>
      <c r="U27" s="90" t="s">
        <v>241</v>
      </c>
      <c r="V27" s="90" t="s">
        <v>242</v>
      </c>
      <c r="W27" s="90" t="s">
        <v>243</v>
      </c>
      <c r="X27" s="90" t="s">
        <v>244</v>
      </c>
      <c r="Y27" s="90" t="s">
        <v>245</v>
      </c>
      <c r="Z27" s="90" t="s">
        <v>246</v>
      </c>
      <c r="AA27" s="90" t="s">
        <v>247</v>
      </c>
      <c r="AB27" s="90" t="s">
        <v>248</v>
      </c>
      <c r="AC27" s="90" t="s">
        <v>249</v>
      </c>
    </row>
    <row r="28" spans="2:29" x14ac:dyDescent="0.25">
      <c r="B28" s="7" t="s">
        <v>7</v>
      </c>
      <c r="C28" s="8">
        <f>SUM(C25:AC25)</f>
        <v>8756.25</v>
      </c>
      <c r="D28" s="6" t="s">
        <v>29</v>
      </c>
      <c r="E28" s="10">
        <f>C25-C29</f>
        <v>-2124.75</v>
      </c>
      <c r="F28" s="10">
        <f>E28+D25</f>
        <v>-1774.5</v>
      </c>
      <c r="G28" s="10">
        <f t="shared" ref="G28:AC28" si="9">F28+E25</f>
        <v>-1424.25</v>
      </c>
      <c r="H28" s="10">
        <f t="shared" si="9"/>
        <v>-1074</v>
      </c>
      <c r="I28" s="10">
        <f t="shared" si="9"/>
        <v>-723.75</v>
      </c>
      <c r="J28" s="10">
        <f t="shared" si="9"/>
        <v>-373.5</v>
      </c>
      <c r="K28" s="10">
        <f t="shared" si="9"/>
        <v>-23.25</v>
      </c>
      <c r="L28" s="10">
        <f t="shared" si="9"/>
        <v>327</v>
      </c>
      <c r="M28" s="10">
        <f t="shared" si="9"/>
        <v>677.25</v>
      </c>
      <c r="N28" s="10">
        <f t="shared" si="9"/>
        <v>1027.5</v>
      </c>
      <c r="O28" s="10">
        <f t="shared" si="9"/>
        <v>1377.75</v>
      </c>
      <c r="P28" s="10">
        <f t="shared" si="9"/>
        <v>1728</v>
      </c>
      <c r="Q28" s="10">
        <f t="shared" si="9"/>
        <v>2078.25</v>
      </c>
      <c r="R28" s="10">
        <f t="shared" si="9"/>
        <v>2428.5</v>
      </c>
      <c r="S28" s="10">
        <f t="shared" si="9"/>
        <v>2778.75</v>
      </c>
      <c r="T28" s="10">
        <f t="shared" si="9"/>
        <v>3129</v>
      </c>
      <c r="U28" s="10">
        <f t="shared" si="9"/>
        <v>3479.25</v>
      </c>
      <c r="V28" s="10">
        <f t="shared" si="9"/>
        <v>3829.5</v>
      </c>
      <c r="W28" s="10">
        <f t="shared" si="9"/>
        <v>4179.75</v>
      </c>
      <c r="X28" s="10">
        <f t="shared" si="9"/>
        <v>4530</v>
      </c>
      <c r="Y28" s="10">
        <f t="shared" si="9"/>
        <v>4880.25</v>
      </c>
      <c r="Z28" s="10">
        <f t="shared" si="9"/>
        <v>5230.5</v>
      </c>
      <c r="AA28" s="10">
        <f t="shared" si="9"/>
        <v>5580.75</v>
      </c>
      <c r="AB28" s="10">
        <f t="shared" si="9"/>
        <v>5931</v>
      </c>
      <c r="AC28" s="10">
        <f t="shared" si="9"/>
        <v>6281.25</v>
      </c>
    </row>
    <row r="29" spans="2:29" x14ac:dyDescent="0.25">
      <c r="B29" s="7" t="s">
        <v>32</v>
      </c>
      <c r="C29" s="8">
        <v>2475</v>
      </c>
      <c r="D29" s="5"/>
      <c r="G29" s="58" t="s">
        <v>43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29" x14ac:dyDescent="0.25">
      <c r="B30" s="7" t="s">
        <v>18</v>
      </c>
      <c r="C30" s="8"/>
      <c r="D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9" x14ac:dyDescent="0.25">
      <c r="B31" s="7" t="s">
        <v>8</v>
      </c>
      <c r="C31" s="8">
        <f>C28-C29</f>
        <v>6281.25</v>
      </c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x14ac:dyDescent="0.25">
      <c r="B32" s="29" t="s">
        <v>10</v>
      </c>
      <c r="C32" s="15">
        <f>C31/C29*100%</f>
        <v>2.5378787878787881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45" x14ac:dyDescent="0.25">
      <c r="B33" s="6"/>
      <c r="C33" s="5"/>
      <c r="D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45" x14ac:dyDescent="0.25">
      <c r="B34" t="s">
        <v>31</v>
      </c>
      <c r="C34" s="4">
        <v>0.05</v>
      </c>
      <c r="D34" s="6"/>
      <c r="E34" s="6"/>
    </row>
    <row r="35" spans="2:45" x14ac:dyDescent="0.25">
      <c r="B35" s="1" t="s">
        <v>6</v>
      </c>
      <c r="C35" s="5">
        <f>C25/(1+$C34)</f>
        <v>333.57142857142856</v>
      </c>
      <c r="D35" s="5">
        <f>D25/(1+$C34)^2</f>
        <v>317.68707482993199</v>
      </c>
      <c r="E35" s="5">
        <f>E25/(1+$C34)^3</f>
        <v>302.55911888564947</v>
      </c>
      <c r="F35" s="5">
        <f>F25/(1+$C34)^4</f>
        <v>288.15154179585664</v>
      </c>
      <c r="G35" s="5">
        <f>G25/(1+$C34)^5</f>
        <v>274.43003980557774</v>
      </c>
      <c r="H35" s="5">
        <f>H25/(1+$C34)^6</f>
        <v>261.36194267197885</v>
      </c>
      <c r="I35" s="5">
        <f>I25/(1+$C34)^7</f>
        <v>248.91613587807504</v>
      </c>
      <c r="J35" s="5">
        <f>J25/(1+$C34)^8</f>
        <v>237.06298655054769</v>
      </c>
      <c r="K35" s="5">
        <f>K25/(1+$C34)^9</f>
        <v>225.77427290528351</v>
      </c>
      <c r="L35" s="5">
        <f>L25/(1+$C34)^10</f>
        <v>215.02311705265095</v>
      </c>
      <c r="M35" s="5">
        <f>M25/(1+$C34)^11</f>
        <v>204.78392100252469</v>
      </c>
      <c r="N35" s="5">
        <f>N25/(1+$C34)^12</f>
        <v>195.03230571669022</v>
      </c>
      <c r="O35" s="5">
        <f>O25/(1+$C34)^13</f>
        <v>185.74505306351446</v>
      </c>
      <c r="P35" s="5">
        <f>P25/(1+$C34)^14</f>
        <v>176.90005053668048</v>
      </c>
      <c r="Q35" s="5">
        <f>Q25/(1+$C34)^15</f>
        <v>168.4762386063623</v>
      </c>
      <c r="R35" s="5">
        <f>R25/(1+$C34)^16</f>
        <v>160.45356057748793</v>
      </c>
      <c r="S35" s="5">
        <f>S25/(1+$C34)^17</f>
        <v>152.81291483570277</v>
      </c>
      <c r="T35" s="5">
        <f>T25/(1+$C34)^18</f>
        <v>145.53610936733597</v>
      </c>
      <c r="U35" s="5">
        <f>U25/(1+$C34)^19</f>
        <v>138.60581844508187</v>
      </c>
      <c r="V35" s="5">
        <f>V25/(1+$C34)^20</f>
        <v>132.00554137626847</v>
      </c>
      <c r="W35" s="5">
        <f>W25/(1+$C34)^21</f>
        <v>125.71956321549378</v>
      </c>
      <c r="X35" s="5">
        <f>X25/(1+$C34)^22</f>
        <v>119.73291734808932</v>
      </c>
      <c r="Y35" s="5">
        <f>Y25/(1+$C34)^23</f>
        <v>114.03134985532313</v>
      </c>
      <c r="Z35" s="5">
        <f>Z25/(1+$C34)^24</f>
        <v>108.60128557649824</v>
      </c>
      <c r="AA35" s="5">
        <f>AA25/(1+$C34)^25</f>
        <v>103.42979578714117</v>
      </c>
      <c r="AB35" s="5">
        <f>AB25/(1+$C34)^26</f>
        <v>0</v>
      </c>
      <c r="AC35" s="5">
        <f>AC25/(1+$C34)^27</f>
        <v>0</v>
      </c>
    </row>
    <row r="36" spans="2:45" x14ac:dyDescent="0.25">
      <c r="B36" s="1"/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45" x14ac:dyDescent="0.25">
      <c r="B37" s="22" t="s">
        <v>28</v>
      </c>
      <c r="C37" s="23"/>
      <c r="D37" s="27" t="s">
        <v>44</v>
      </c>
      <c r="E37" s="91" t="s">
        <v>0</v>
      </c>
      <c r="F37" s="91" t="s">
        <v>226</v>
      </c>
      <c r="G37" s="91" t="s">
        <v>227</v>
      </c>
      <c r="H37" s="91" t="s">
        <v>228</v>
      </c>
      <c r="I37" s="91" t="s">
        <v>229</v>
      </c>
      <c r="J37" s="91" t="s">
        <v>230</v>
      </c>
      <c r="K37" s="91" t="s">
        <v>231</v>
      </c>
      <c r="L37" s="91" t="s">
        <v>232</v>
      </c>
      <c r="M37" s="91" t="s">
        <v>233</v>
      </c>
      <c r="N37" s="91" t="s">
        <v>234</v>
      </c>
      <c r="O37" s="91" t="s">
        <v>235</v>
      </c>
      <c r="P37" s="91" t="s">
        <v>236</v>
      </c>
      <c r="Q37" s="91" t="s">
        <v>237</v>
      </c>
      <c r="R37" s="91" t="s">
        <v>238</v>
      </c>
      <c r="S37" s="91" t="s">
        <v>239</v>
      </c>
      <c r="T37" s="91" t="s">
        <v>240</v>
      </c>
      <c r="U37" s="91" t="s">
        <v>241</v>
      </c>
      <c r="V37" s="91" t="s">
        <v>242</v>
      </c>
      <c r="W37" s="91" t="s">
        <v>243</v>
      </c>
      <c r="X37" s="91" t="s">
        <v>244</v>
      </c>
      <c r="Y37" s="91" t="s">
        <v>245</v>
      </c>
      <c r="Z37" s="91" t="s">
        <v>246</v>
      </c>
      <c r="AA37" s="91" t="s">
        <v>247</v>
      </c>
      <c r="AB37" s="91" t="s">
        <v>248</v>
      </c>
      <c r="AC37" s="91" t="s">
        <v>249</v>
      </c>
    </row>
    <row r="38" spans="2:45" x14ac:dyDescent="0.25">
      <c r="B38" s="7" t="s">
        <v>15</v>
      </c>
      <c r="C38" s="8">
        <f>SUM(C35:AC35)</f>
        <v>4936.4040842571749</v>
      </c>
      <c r="D38" s="6" t="s">
        <v>30</v>
      </c>
      <c r="E38" s="10">
        <f>C35-C39</f>
        <v>-2141.4285714285716</v>
      </c>
      <c r="F38" s="10">
        <f>E38+D35</f>
        <v>-1823.7414965986395</v>
      </c>
      <c r="G38" s="10">
        <f t="shared" ref="G38:AC38" si="10">F38+E35</f>
        <v>-1521.18237771299</v>
      </c>
      <c r="H38" s="10">
        <f t="shared" si="10"/>
        <v>-1233.0308359171333</v>
      </c>
      <c r="I38" s="10">
        <f t="shared" si="10"/>
        <v>-958.60079611155561</v>
      </c>
      <c r="J38" s="10">
        <f t="shared" si="10"/>
        <v>-697.23885343957681</v>
      </c>
      <c r="K38" s="10">
        <f t="shared" si="10"/>
        <v>-448.3227175615018</v>
      </c>
      <c r="L38" s="10">
        <f t="shared" si="10"/>
        <v>-211.25973101095411</v>
      </c>
      <c r="M38" s="10">
        <f t="shared" si="10"/>
        <v>14.514541894329398</v>
      </c>
      <c r="N38" s="10">
        <f t="shared" si="10"/>
        <v>229.53765894698034</v>
      </c>
      <c r="O38" s="10">
        <f t="shared" si="10"/>
        <v>434.32157994950501</v>
      </c>
      <c r="P38" s="10">
        <f t="shared" si="10"/>
        <v>629.3538856661952</v>
      </c>
      <c r="Q38" s="10">
        <f t="shared" si="10"/>
        <v>815.09893872970963</v>
      </c>
      <c r="R38" s="10">
        <f t="shared" si="10"/>
        <v>991.99898926639014</v>
      </c>
      <c r="S38" s="10">
        <f t="shared" si="10"/>
        <v>1160.4752278727524</v>
      </c>
      <c r="T38" s="10">
        <f t="shared" si="10"/>
        <v>1320.9287884502403</v>
      </c>
      <c r="U38" s="10">
        <f t="shared" si="10"/>
        <v>1473.741703285943</v>
      </c>
      <c r="V38" s="10">
        <f t="shared" si="10"/>
        <v>1619.2778126532789</v>
      </c>
      <c r="W38" s="10">
        <f t="shared" si="10"/>
        <v>1757.8836310983609</v>
      </c>
      <c r="X38" s="10">
        <f t="shared" si="10"/>
        <v>1889.8891724746293</v>
      </c>
      <c r="Y38" s="10">
        <f t="shared" si="10"/>
        <v>2015.608735690123</v>
      </c>
      <c r="Z38" s="10">
        <f t="shared" si="10"/>
        <v>2135.3416530382124</v>
      </c>
      <c r="AA38" s="10">
        <f t="shared" si="10"/>
        <v>2249.3730028935356</v>
      </c>
      <c r="AB38" s="10">
        <f t="shared" si="10"/>
        <v>2357.974288470034</v>
      </c>
      <c r="AC38" s="10">
        <f t="shared" si="10"/>
        <v>2461.4040842571753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x14ac:dyDescent="0.25">
      <c r="B39" s="7" t="s">
        <v>17</v>
      </c>
      <c r="C39" s="8">
        <f>C29</f>
        <v>2475</v>
      </c>
      <c r="D39" s="6"/>
      <c r="G39" t="s">
        <v>56</v>
      </c>
    </row>
    <row r="40" spans="2:45" x14ac:dyDescent="0.25">
      <c r="B40" s="7" t="s">
        <v>18</v>
      </c>
      <c r="C40" s="8"/>
      <c r="D40" s="6"/>
    </row>
    <row r="41" spans="2:45" x14ac:dyDescent="0.25">
      <c r="B41" s="7" t="s">
        <v>14</v>
      </c>
      <c r="C41" s="8">
        <f>C38-C39</f>
        <v>2461.4040842571749</v>
      </c>
      <c r="D41" s="6"/>
    </row>
    <row r="42" spans="2:45" x14ac:dyDescent="0.25">
      <c r="B42" s="29" t="s">
        <v>9</v>
      </c>
      <c r="C42" s="15">
        <f>(C41/C39)*100%</f>
        <v>0.9945067007099696</v>
      </c>
      <c r="D42" s="5" t="s">
        <v>165</v>
      </c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45" ht="15.75" thickBot="1" x14ac:dyDescent="0.3">
      <c r="E43" s="2"/>
      <c r="F43" s="2"/>
    </row>
    <row r="44" spans="2:45" x14ac:dyDescent="0.25">
      <c r="B44" s="83" t="s">
        <v>155</v>
      </c>
      <c r="C44" s="88"/>
    </row>
    <row r="45" spans="2:45" x14ac:dyDescent="0.25">
      <c r="B45" s="42" t="s">
        <v>151</v>
      </c>
      <c r="C45" s="43" t="s">
        <v>222</v>
      </c>
    </row>
    <row r="46" spans="2:45" ht="15.75" thickBot="1" x14ac:dyDescent="0.3">
      <c r="B46" s="46" t="s">
        <v>152</v>
      </c>
      <c r="C46" s="47" t="s">
        <v>216</v>
      </c>
    </row>
  </sheetData>
  <phoneticPr fontId="6" type="noConversion"/>
  <pageMargins left="0.7" right="0.7" top="0.75" bottom="0.75" header="0.3" footer="0.3"/>
  <pageSetup paperSize="9" orientation="portrait" r:id="rId1"/>
  <ignoredErrors>
    <ignoredError sqref="Z19:AA19 C19:M19 Y19 N19:X19" formula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"/>
  <sheetViews>
    <sheetView workbookViewId="0">
      <selection activeCell="C7" sqref="C7"/>
    </sheetView>
  </sheetViews>
  <sheetFormatPr defaultRowHeight="15" x14ac:dyDescent="0.25"/>
  <cols>
    <col min="1" max="1" width="98.7109375" customWidth="1"/>
    <col min="2" max="2" width="14.7109375" customWidth="1"/>
    <col min="3" max="3" width="20.85546875" customWidth="1"/>
    <col min="4" max="4" width="25.5703125" customWidth="1"/>
    <col min="5" max="5" width="80.7109375" customWidth="1"/>
    <col min="6" max="6" width="91.7109375" customWidth="1"/>
  </cols>
  <sheetData>
    <row r="1" spans="1:6" x14ac:dyDescent="0.25">
      <c r="A1" s="75" t="s">
        <v>289</v>
      </c>
      <c r="E1" t="s">
        <v>13</v>
      </c>
    </row>
    <row r="2" spans="1:6" x14ac:dyDescent="0.25">
      <c r="A2" s="74" t="s">
        <v>299</v>
      </c>
    </row>
    <row r="3" spans="1:6" ht="30" x14ac:dyDescent="0.25">
      <c r="A3" t="s">
        <v>140</v>
      </c>
      <c r="B3" s="24" t="s">
        <v>11</v>
      </c>
      <c r="C3" s="105" t="s">
        <v>288</v>
      </c>
      <c r="D3" s="105" t="s">
        <v>12</v>
      </c>
    </row>
    <row r="4" spans="1:6" x14ac:dyDescent="0.25">
      <c r="B4" s="13"/>
    </row>
    <row r="5" spans="1:6" x14ac:dyDescent="0.25">
      <c r="A5" t="s">
        <v>86</v>
      </c>
      <c r="B5" s="97">
        <f>'BC PV-basis'!C42</f>
        <v>0.9945067007099696</v>
      </c>
      <c r="C5" s="86"/>
      <c r="D5" s="86"/>
      <c r="E5" t="s">
        <v>81</v>
      </c>
    </row>
    <row r="6" spans="1:6" x14ac:dyDescent="0.25">
      <c r="B6" s="97"/>
      <c r="C6" s="86"/>
      <c r="D6" s="86"/>
    </row>
    <row r="7" spans="1:6" ht="30" x14ac:dyDescent="0.25">
      <c r="A7" s="40" t="s">
        <v>127</v>
      </c>
      <c r="B7" s="86"/>
      <c r="C7" s="86">
        <f>'BC PV-basis'!B3*0.6</f>
        <v>1320</v>
      </c>
      <c r="D7" s="86"/>
      <c r="E7" s="103" t="s">
        <v>125</v>
      </c>
    </row>
    <row r="8" spans="1:6" x14ac:dyDescent="0.25">
      <c r="A8" t="s">
        <v>88</v>
      </c>
      <c r="B8" s="86"/>
      <c r="C8" s="86">
        <f>'BC PV-basis'!B4*1.9</f>
        <v>0</v>
      </c>
      <c r="D8" s="86"/>
      <c r="E8" t="s">
        <v>124</v>
      </c>
    </row>
    <row r="9" spans="1:6" x14ac:dyDescent="0.25">
      <c r="A9" t="s">
        <v>89</v>
      </c>
      <c r="B9" s="86"/>
      <c r="C9" s="86">
        <f>C7+C8</f>
        <v>1320</v>
      </c>
      <c r="D9" s="86"/>
      <c r="E9" t="s">
        <v>126</v>
      </c>
    </row>
    <row r="10" spans="1:6" x14ac:dyDescent="0.25">
      <c r="B10" s="86"/>
      <c r="C10" s="86"/>
      <c r="D10" s="86"/>
    </row>
    <row r="11" spans="1:6" ht="30" x14ac:dyDescent="0.25">
      <c r="A11" t="s">
        <v>90</v>
      </c>
      <c r="B11" s="86"/>
      <c r="C11" s="86"/>
      <c r="D11" s="86" t="s">
        <v>107</v>
      </c>
      <c r="E11" s="104" t="s">
        <v>130</v>
      </c>
      <c r="F11" s="2" t="s">
        <v>159</v>
      </c>
    </row>
    <row r="12" spans="1:6" x14ac:dyDescent="0.25">
      <c r="A12" s="40"/>
      <c r="B12" s="86"/>
      <c r="C12" s="86"/>
      <c r="D12" s="86"/>
      <c r="E12" s="40" t="s">
        <v>158</v>
      </c>
      <c r="F12" s="48" t="s">
        <v>294</v>
      </c>
    </row>
    <row r="13" spans="1:6" x14ac:dyDescent="0.25">
      <c r="B13" s="86"/>
      <c r="C13" s="98"/>
      <c r="D13" s="86"/>
      <c r="E13" s="38"/>
      <c r="F13" s="117" t="s">
        <v>93</v>
      </c>
    </row>
    <row r="14" spans="1:6" x14ac:dyDescent="0.25">
      <c r="A14" s="40" t="s">
        <v>186</v>
      </c>
      <c r="B14" s="86">
        <v>5</v>
      </c>
      <c r="C14" s="86">
        <v>4</v>
      </c>
      <c r="D14" s="86">
        <v>4</v>
      </c>
      <c r="E14" s="40" t="s">
        <v>132</v>
      </c>
      <c r="F14" s="117" t="s">
        <v>94</v>
      </c>
    </row>
    <row r="15" spans="1:6" x14ac:dyDescent="0.25">
      <c r="B15" s="86"/>
      <c r="C15" s="26"/>
      <c r="D15" s="86"/>
      <c r="E15" s="40" t="s">
        <v>82</v>
      </c>
      <c r="F15" s="117" t="s">
        <v>291</v>
      </c>
    </row>
    <row r="16" spans="1:6" x14ac:dyDescent="0.25">
      <c r="B16" s="86"/>
      <c r="C16" s="26"/>
      <c r="D16" s="86"/>
      <c r="F16" s="16" t="s">
        <v>95</v>
      </c>
    </row>
    <row r="17" spans="1:6" x14ac:dyDescent="0.25">
      <c r="A17" t="s">
        <v>131</v>
      </c>
      <c r="B17" s="99">
        <v>0.6</v>
      </c>
      <c r="C17" s="99">
        <v>0.1</v>
      </c>
      <c r="D17" s="99">
        <v>0.3</v>
      </c>
      <c r="E17" s="2" t="s">
        <v>84</v>
      </c>
      <c r="F17" s="48" t="s">
        <v>74</v>
      </c>
    </row>
    <row r="18" spans="1:6" ht="18.75" x14ac:dyDescent="0.3">
      <c r="B18" s="4"/>
      <c r="C18" s="4"/>
      <c r="D18" s="4"/>
      <c r="E18" s="14"/>
      <c r="F18" s="16" t="s">
        <v>96</v>
      </c>
    </row>
    <row r="19" spans="1:6" x14ac:dyDescent="0.25">
      <c r="A19" s="110" t="s">
        <v>128</v>
      </c>
      <c r="B19" s="111">
        <f>B14*B17+C14*C17+D14*D17</f>
        <v>4.5999999999999996</v>
      </c>
      <c r="E19" s="40" t="s">
        <v>129</v>
      </c>
      <c r="F19" s="16" t="s">
        <v>97</v>
      </c>
    </row>
    <row r="20" spans="1:6" x14ac:dyDescent="0.25">
      <c r="F20" s="48" t="s">
        <v>99</v>
      </c>
    </row>
    <row r="21" spans="1:6" x14ac:dyDescent="0.25">
      <c r="A21" s="38"/>
      <c r="F21" s="48" t="s">
        <v>292</v>
      </c>
    </row>
    <row r="22" spans="1:6" x14ac:dyDescent="0.25">
      <c r="F22" s="48" t="s">
        <v>100</v>
      </c>
    </row>
    <row r="23" spans="1:6" x14ac:dyDescent="0.25">
      <c r="F23" s="48" t="s">
        <v>101</v>
      </c>
    </row>
    <row r="24" spans="1:6" x14ac:dyDescent="0.25">
      <c r="F24" s="48" t="s">
        <v>293</v>
      </c>
    </row>
    <row r="25" spans="1:6" x14ac:dyDescent="0.25">
      <c r="F25" s="48" t="s">
        <v>295</v>
      </c>
    </row>
    <row r="26" spans="1:6" x14ac:dyDescent="0.25">
      <c r="F26" s="48" t="s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50"/>
  <sheetViews>
    <sheetView workbookViewId="0">
      <selection activeCell="B9" sqref="B9"/>
    </sheetView>
  </sheetViews>
  <sheetFormatPr defaultRowHeight="15" x14ac:dyDescent="0.25"/>
  <cols>
    <col min="1" max="1" width="17.28515625" bestFit="1" customWidth="1"/>
    <col min="2" max="2" width="85.85546875" customWidth="1"/>
    <col min="3" max="3" width="12.7109375" customWidth="1"/>
    <col min="4" max="4" width="16.7109375" customWidth="1"/>
    <col min="5" max="27" width="12.7109375" customWidth="1"/>
    <col min="28" max="29" width="10.28515625" customWidth="1"/>
  </cols>
  <sheetData>
    <row r="1" spans="1:29" s="113" customFormat="1" x14ac:dyDescent="0.25">
      <c r="B1" s="119" t="s">
        <v>166</v>
      </c>
      <c r="C1" s="120" t="s">
        <v>0</v>
      </c>
      <c r="D1" s="120" t="s">
        <v>226</v>
      </c>
      <c r="E1" s="120" t="s">
        <v>227</v>
      </c>
      <c r="F1" s="120" t="s">
        <v>228</v>
      </c>
      <c r="G1" s="120" t="s">
        <v>229</v>
      </c>
      <c r="H1" s="120" t="s">
        <v>230</v>
      </c>
      <c r="I1" s="120" t="s">
        <v>231</v>
      </c>
      <c r="J1" s="120" t="s">
        <v>232</v>
      </c>
      <c r="K1" s="120" t="s">
        <v>233</v>
      </c>
      <c r="L1" s="120" t="s">
        <v>234</v>
      </c>
      <c r="M1" s="120" t="s">
        <v>235</v>
      </c>
      <c r="N1" s="120" t="s">
        <v>236</v>
      </c>
      <c r="O1" s="120" t="s">
        <v>237</v>
      </c>
      <c r="P1" s="120" t="s">
        <v>238</v>
      </c>
      <c r="Q1" s="120" t="s">
        <v>239</v>
      </c>
      <c r="R1" s="120" t="s">
        <v>240</v>
      </c>
      <c r="S1" s="120" t="s">
        <v>241</v>
      </c>
      <c r="T1" s="120" t="s">
        <v>242</v>
      </c>
      <c r="U1" s="120" t="s">
        <v>243</v>
      </c>
      <c r="V1" s="120" t="s">
        <v>244</v>
      </c>
      <c r="W1" s="120" t="s">
        <v>245</v>
      </c>
      <c r="X1" s="120" t="s">
        <v>246</v>
      </c>
      <c r="Y1" s="120" t="s">
        <v>247</v>
      </c>
      <c r="Z1" s="120" t="s">
        <v>248</v>
      </c>
      <c r="AA1" s="120" t="s">
        <v>249</v>
      </c>
      <c r="AB1" s="120" t="s">
        <v>250</v>
      </c>
      <c r="AC1" s="120" t="s">
        <v>251</v>
      </c>
    </row>
    <row r="2" spans="1:29" x14ac:dyDescent="0.25">
      <c r="B2" t="s">
        <v>163</v>
      </c>
    </row>
    <row r="3" spans="1:29" x14ac:dyDescent="0.25">
      <c r="A3" t="s">
        <v>307</v>
      </c>
      <c r="B3" s="135">
        <v>2200</v>
      </c>
      <c r="C3" s="61"/>
      <c r="D3" s="61"/>
      <c r="E3" s="61"/>
      <c r="F3" s="61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4"/>
      <c r="AC3" s="64"/>
    </row>
    <row r="4" spans="1:29" x14ac:dyDescent="0.25">
      <c r="A4" t="s">
        <v>308</v>
      </c>
      <c r="B4" s="136">
        <v>0</v>
      </c>
      <c r="C4" s="63"/>
      <c r="D4" s="63"/>
      <c r="E4" s="63"/>
      <c r="F4" s="63"/>
      <c r="G4" s="6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66"/>
      <c r="AC4" s="66"/>
    </row>
    <row r="5" spans="1:29" x14ac:dyDescent="0.25">
      <c r="A5" t="s">
        <v>286</v>
      </c>
      <c r="B5" s="135">
        <v>0.22</v>
      </c>
      <c r="C5" s="61"/>
      <c r="D5" s="61"/>
      <c r="E5" s="61"/>
      <c r="F5" s="61"/>
      <c r="G5" s="61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  <c r="AC5" s="64"/>
    </row>
    <row r="6" spans="1:29" x14ac:dyDescent="0.25">
      <c r="A6" t="s">
        <v>287</v>
      </c>
      <c r="B6" s="113">
        <v>0.8</v>
      </c>
      <c r="C6" s="63"/>
      <c r="D6" s="63"/>
      <c r="E6" s="63"/>
      <c r="F6" s="63"/>
      <c r="G6" s="6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66"/>
      <c r="AC6" s="66"/>
    </row>
    <row r="7" spans="1:29" x14ac:dyDescent="0.25">
      <c r="C7" s="63"/>
      <c r="D7" s="63"/>
      <c r="E7" s="63"/>
      <c r="F7" s="63"/>
      <c r="G7" s="6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66"/>
      <c r="AC7" s="66"/>
    </row>
    <row r="8" spans="1:29" x14ac:dyDescent="0.25">
      <c r="B8" s="149" t="s">
        <v>214</v>
      </c>
      <c r="C8" s="64">
        <f t="shared" ref="C8:AA8" si="0">$B3*$B5</f>
        <v>484</v>
      </c>
      <c r="D8" s="64">
        <f t="shared" si="0"/>
        <v>484</v>
      </c>
      <c r="E8" s="64">
        <f t="shared" si="0"/>
        <v>484</v>
      </c>
      <c r="F8" s="64">
        <f t="shared" si="0"/>
        <v>484</v>
      </c>
      <c r="G8" s="64">
        <f t="shared" si="0"/>
        <v>484</v>
      </c>
      <c r="H8" s="64">
        <f t="shared" si="0"/>
        <v>484</v>
      </c>
      <c r="I8" s="64">
        <f t="shared" si="0"/>
        <v>484</v>
      </c>
      <c r="J8" s="64">
        <f t="shared" si="0"/>
        <v>484</v>
      </c>
      <c r="K8" s="64">
        <f t="shared" si="0"/>
        <v>484</v>
      </c>
      <c r="L8" s="64">
        <f t="shared" si="0"/>
        <v>484</v>
      </c>
      <c r="M8" s="64">
        <f t="shared" si="0"/>
        <v>484</v>
      </c>
      <c r="N8" s="64">
        <f t="shared" si="0"/>
        <v>484</v>
      </c>
      <c r="O8" s="64">
        <f t="shared" si="0"/>
        <v>484</v>
      </c>
      <c r="P8" s="64">
        <f t="shared" si="0"/>
        <v>484</v>
      </c>
      <c r="Q8" s="64">
        <f t="shared" si="0"/>
        <v>484</v>
      </c>
      <c r="R8" s="64">
        <f t="shared" si="0"/>
        <v>484</v>
      </c>
      <c r="S8" s="64">
        <f t="shared" si="0"/>
        <v>484</v>
      </c>
      <c r="T8" s="64">
        <f t="shared" si="0"/>
        <v>484</v>
      </c>
      <c r="U8" s="64">
        <f t="shared" si="0"/>
        <v>484</v>
      </c>
      <c r="V8" s="64">
        <f t="shared" si="0"/>
        <v>484</v>
      </c>
      <c r="W8" s="64">
        <f t="shared" si="0"/>
        <v>484</v>
      </c>
      <c r="X8" s="64">
        <f t="shared" si="0"/>
        <v>484</v>
      </c>
      <c r="Y8" s="64">
        <f t="shared" si="0"/>
        <v>484</v>
      </c>
      <c r="Z8" s="64">
        <f t="shared" si="0"/>
        <v>484</v>
      </c>
      <c r="AA8" s="64">
        <f t="shared" si="0"/>
        <v>484</v>
      </c>
      <c r="AB8" s="64"/>
      <c r="AC8" s="64"/>
    </row>
    <row r="9" spans="1:29" x14ac:dyDescent="0.25">
      <c r="B9" s="2" t="s">
        <v>54</v>
      </c>
      <c r="C9" s="35"/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66"/>
      <c r="AC9" s="66"/>
    </row>
    <row r="10" spans="1:29" x14ac:dyDescent="0.25">
      <c r="B10" s="31" t="s">
        <v>55</v>
      </c>
      <c r="C10" s="65"/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4"/>
      <c r="AC10" s="64"/>
    </row>
    <row r="11" spans="1:29" x14ac:dyDescent="0.25">
      <c r="B11" s="2" t="s">
        <v>46</v>
      </c>
      <c r="C11" s="35">
        <v>50</v>
      </c>
      <c r="D11" s="35">
        <v>50</v>
      </c>
      <c r="E11" s="35">
        <v>50</v>
      </c>
      <c r="F11" s="35">
        <v>50</v>
      </c>
      <c r="G11" s="35">
        <v>50</v>
      </c>
      <c r="H11" s="35">
        <v>50</v>
      </c>
      <c r="I11" s="35">
        <v>50</v>
      </c>
      <c r="J11" s="35">
        <v>50</v>
      </c>
      <c r="K11" s="35">
        <v>50</v>
      </c>
      <c r="L11" s="35">
        <v>50</v>
      </c>
      <c r="M11" s="35">
        <v>50</v>
      </c>
      <c r="N11" s="35">
        <v>50</v>
      </c>
      <c r="O11" s="35">
        <v>50</v>
      </c>
      <c r="P11" s="35">
        <v>50</v>
      </c>
      <c r="Q11" s="35">
        <v>50</v>
      </c>
      <c r="R11" s="35">
        <v>50</v>
      </c>
      <c r="S11" s="35">
        <v>50</v>
      </c>
      <c r="T11" s="35">
        <v>50</v>
      </c>
      <c r="U11" s="35">
        <v>50</v>
      </c>
      <c r="V11" s="35">
        <v>50</v>
      </c>
      <c r="W11" s="35">
        <v>50</v>
      </c>
      <c r="X11" s="35">
        <v>50</v>
      </c>
      <c r="Y11" s="35">
        <v>50</v>
      </c>
      <c r="Z11" s="35">
        <v>50</v>
      </c>
      <c r="AA11" s="35">
        <v>50</v>
      </c>
      <c r="AB11" s="35"/>
      <c r="AC11" s="35"/>
    </row>
    <row r="12" spans="1:29" x14ac:dyDescent="0.25">
      <c r="B12" s="31" t="s">
        <v>19</v>
      </c>
      <c r="C12" s="65"/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4"/>
      <c r="AC12" s="64"/>
    </row>
    <row r="13" spans="1:29" x14ac:dyDescent="0.25">
      <c r="B13" s="2" t="s">
        <v>21</v>
      </c>
      <c r="C13" s="35"/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66"/>
      <c r="AC13" s="66"/>
    </row>
    <row r="14" spans="1:29" x14ac:dyDescent="0.25">
      <c r="B14" s="62" t="s">
        <v>1</v>
      </c>
      <c r="C14" s="64">
        <f>C8-SUM(C9:C13)</f>
        <v>434</v>
      </c>
      <c r="D14" s="64">
        <f>D8-SUM(D9:D13)</f>
        <v>434</v>
      </c>
      <c r="E14" s="64">
        <f>E8-SUM(E9:E13)</f>
        <v>434</v>
      </c>
      <c r="F14" s="64">
        <f>F8-SUM(F9:F13)</f>
        <v>434</v>
      </c>
      <c r="G14" s="64">
        <f>G8-SUM(G9:G13)</f>
        <v>434</v>
      </c>
      <c r="H14" s="64">
        <f t="shared" ref="H14:AC14" si="1">H8-SUM(H9:H13)</f>
        <v>434</v>
      </c>
      <c r="I14" s="64">
        <f t="shared" si="1"/>
        <v>434</v>
      </c>
      <c r="J14" s="64">
        <f t="shared" si="1"/>
        <v>434</v>
      </c>
      <c r="K14" s="64">
        <f t="shared" si="1"/>
        <v>434</v>
      </c>
      <c r="L14" s="64">
        <f t="shared" si="1"/>
        <v>434</v>
      </c>
      <c r="M14" s="64">
        <f t="shared" si="1"/>
        <v>434</v>
      </c>
      <c r="N14" s="64">
        <f t="shared" si="1"/>
        <v>434</v>
      </c>
      <c r="O14" s="64">
        <f t="shared" si="1"/>
        <v>434</v>
      </c>
      <c r="P14" s="64">
        <f t="shared" si="1"/>
        <v>434</v>
      </c>
      <c r="Q14" s="64">
        <f t="shared" si="1"/>
        <v>434</v>
      </c>
      <c r="R14" s="64">
        <f t="shared" si="1"/>
        <v>434</v>
      </c>
      <c r="S14" s="64">
        <f t="shared" si="1"/>
        <v>434</v>
      </c>
      <c r="T14" s="64">
        <f t="shared" si="1"/>
        <v>434</v>
      </c>
      <c r="U14" s="64">
        <f t="shared" si="1"/>
        <v>434</v>
      </c>
      <c r="V14" s="64">
        <f t="shared" si="1"/>
        <v>434</v>
      </c>
      <c r="W14" s="64">
        <f t="shared" si="1"/>
        <v>434</v>
      </c>
      <c r="X14" s="64">
        <f t="shared" si="1"/>
        <v>434</v>
      </c>
      <c r="Y14" s="64">
        <f t="shared" si="1"/>
        <v>434</v>
      </c>
      <c r="Z14" s="64">
        <f t="shared" si="1"/>
        <v>434</v>
      </c>
      <c r="AA14" s="64">
        <f t="shared" si="1"/>
        <v>434</v>
      </c>
      <c r="AB14" s="64">
        <f t="shared" si="1"/>
        <v>0</v>
      </c>
      <c r="AC14" s="64">
        <f t="shared" si="1"/>
        <v>0</v>
      </c>
    </row>
    <row r="15" spans="1:29" x14ac:dyDescent="0.25">
      <c r="B15" s="2" t="s">
        <v>58</v>
      </c>
      <c r="C15" s="35">
        <f>$C29/25</f>
        <v>240</v>
      </c>
      <c r="D15" s="35">
        <f t="shared" ref="D15:AA15" si="2">$C29/25</f>
        <v>240</v>
      </c>
      <c r="E15" s="35">
        <f t="shared" si="2"/>
        <v>240</v>
      </c>
      <c r="F15" s="35">
        <f t="shared" si="2"/>
        <v>240</v>
      </c>
      <c r="G15" s="35">
        <f t="shared" si="2"/>
        <v>240</v>
      </c>
      <c r="H15" s="35">
        <f t="shared" si="2"/>
        <v>240</v>
      </c>
      <c r="I15" s="35">
        <f t="shared" si="2"/>
        <v>240</v>
      </c>
      <c r="J15" s="35">
        <f t="shared" si="2"/>
        <v>240</v>
      </c>
      <c r="K15" s="35">
        <f t="shared" si="2"/>
        <v>240</v>
      </c>
      <c r="L15" s="35">
        <f t="shared" si="2"/>
        <v>240</v>
      </c>
      <c r="M15" s="35">
        <f t="shared" si="2"/>
        <v>240</v>
      </c>
      <c r="N15" s="35">
        <f t="shared" si="2"/>
        <v>240</v>
      </c>
      <c r="O15" s="35">
        <f t="shared" si="2"/>
        <v>240</v>
      </c>
      <c r="P15" s="35">
        <f t="shared" si="2"/>
        <v>240</v>
      </c>
      <c r="Q15" s="35">
        <f t="shared" si="2"/>
        <v>240</v>
      </c>
      <c r="R15" s="35">
        <f t="shared" si="2"/>
        <v>240</v>
      </c>
      <c r="S15" s="35">
        <f t="shared" si="2"/>
        <v>240</v>
      </c>
      <c r="T15" s="35">
        <f t="shared" si="2"/>
        <v>240</v>
      </c>
      <c r="U15" s="35">
        <f t="shared" si="2"/>
        <v>240</v>
      </c>
      <c r="V15" s="35">
        <f t="shared" si="2"/>
        <v>240</v>
      </c>
      <c r="W15" s="35">
        <f t="shared" si="2"/>
        <v>240</v>
      </c>
      <c r="X15" s="35">
        <f t="shared" si="2"/>
        <v>240</v>
      </c>
      <c r="Y15" s="35">
        <f t="shared" si="2"/>
        <v>240</v>
      </c>
      <c r="Z15" s="35">
        <f t="shared" si="2"/>
        <v>240</v>
      </c>
      <c r="AA15" s="35">
        <f t="shared" si="2"/>
        <v>240</v>
      </c>
      <c r="AB15" s="35"/>
      <c r="AC15" s="35"/>
    </row>
    <row r="16" spans="1:29" x14ac:dyDescent="0.25">
      <c r="B16" s="62" t="s">
        <v>2</v>
      </c>
      <c r="C16" s="64">
        <f t="shared" ref="C16:AC16" si="3">C14-C15</f>
        <v>194</v>
      </c>
      <c r="D16" s="64">
        <f t="shared" si="3"/>
        <v>194</v>
      </c>
      <c r="E16" s="64">
        <f t="shared" si="3"/>
        <v>194</v>
      </c>
      <c r="F16" s="64">
        <f t="shared" si="3"/>
        <v>194</v>
      </c>
      <c r="G16" s="64">
        <f t="shared" si="3"/>
        <v>194</v>
      </c>
      <c r="H16" s="64">
        <f t="shared" si="3"/>
        <v>194</v>
      </c>
      <c r="I16" s="64">
        <f t="shared" si="3"/>
        <v>194</v>
      </c>
      <c r="J16" s="64">
        <f t="shared" si="3"/>
        <v>194</v>
      </c>
      <c r="K16" s="64">
        <f t="shared" si="3"/>
        <v>194</v>
      </c>
      <c r="L16" s="64">
        <f t="shared" si="3"/>
        <v>194</v>
      </c>
      <c r="M16" s="64">
        <f t="shared" si="3"/>
        <v>194</v>
      </c>
      <c r="N16" s="64">
        <f t="shared" si="3"/>
        <v>194</v>
      </c>
      <c r="O16" s="64">
        <f t="shared" si="3"/>
        <v>194</v>
      </c>
      <c r="P16" s="64">
        <f t="shared" si="3"/>
        <v>194</v>
      </c>
      <c r="Q16" s="64">
        <f t="shared" si="3"/>
        <v>194</v>
      </c>
      <c r="R16" s="64">
        <f t="shared" si="3"/>
        <v>194</v>
      </c>
      <c r="S16" s="64">
        <f t="shared" si="3"/>
        <v>194</v>
      </c>
      <c r="T16" s="64">
        <f t="shared" si="3"/>
        <v>194</v>
      </c>
      <c r="U16" s="64">
        <f t="shared" si="3"/>
        <v>194</v>
      </c>
      <c r="V16" s="64">
        <f t="shared" si="3"/>
        <v>194</v>
      </c>
      <c r="W16" s="64">
        <f t="shared" si="3"/>
        <v>194</v>
      </c>
      <c r="X16" s="64">
        <f t="shared" si="3"/>
        <v>194</v>
      </c>
      <c r="Y16" s="64">
        <f t="shared" si="3"/>
        <v>194</v>
      </c>
      <c r="Z16" s="64">
        <f t="shared" si="3"/>
        <v>194</v>
      </c>
      <c r="AA16" s="64">
        <f t="shared" si="3"/>
        <v>194</v>
      </c>
      <c r="AB16" s="64">
        <f t="shared" si="3"/>
        <v>0</v>
      </c>
      <c r="AC16" s="64">
        <f t="shared" si="3"/>
        <v>0</v>
      </c>
    </row>
    <row r="17" spans="2:29" x14ac:dyDescent="0.25">
      <c r="B17" s="2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</row>
    <row r="18" spans="2:29" x14ac:dyDescent="0.25">
      <c r="B18" s="62" t="s">
        <v>3</v>
      </c>
      <c r="C18" s="64">
        <f t="shared" ref="C18:AC18" si="4">C16-C17</f>
        <v>194</v>
      </c>
      <c r="D18" s="64">
        <f t="shared" si="4"/>
        <v>194</v>
      </c>
      <c r="E18" s="64">
        <f t="shared" si="4"/>
        <v>194</v>
      </c>
      <c r="F18" s="64">
        <f t="shared" si="4"/>
        <v>194</v>
      </c>
      <c r="G18" s="64">
        <f t="shared" si="4"/>
        <v>194</v>
      </c>
      <c r="H18" s="64">
        <f t="shared" si="4"/>
        <v>194</v>
      </c>
      <c r="I18" s="64">
        <f t="shared" si="4"/>
        <v>194</v>
      </c>
      <c r="J18" s="64">
        <f t="shared" si="4"/>
        <v>194</v>
      </c>
      <c r="K18" s="64">
        <f t="shared" si="4"/>
        <v>194</v>
      </c>
      <c r="L18" s="64">
        <f t="shared" si="4"/>
        <v>194</v>
      </c>
      <c r="M18" s="64">
        <f t="shared" si="4"/>
        <v>194</v>
      </c>
      <c r="N18" s="64">
        <f t="shared" si="4"/>
        <v>194</v>
      </c>
      <c r="O18" s="64">
        <f t="shared" si="4"/>
        <v>194</v>
      </c>
      <c r="P18" s="64">
        <f t="shared" si="4"/>
        <v>194</v>
      </c>
      <c r="Q18" s="64">
        <f t="shared" si="4"/>
        <v>194</v>
      </c>
      <c r="R18" s="64">
        <f t="shared" si="4"/>
        <v>194</v>
      </c>
      <c r="S18" s="64">
        <f t="shared" si="4"/>
        <v>194</v>
      </c>
      <c r="T18" s="64">
        <f t="shared" si="4"/>
        <v>194</v>
      </c>
      <c r="U18" s="64">
        <f t="shared" si="4"/>
        <v>194</v>
      </c>
      <c r="V18" s="64">
        <f t="shared" si="4"/>
        <v>194</v>
      </c>
      <c r="W18" s="64">
        <f t="shared" si="4"/>
        <v>194</v>
      </c>
      <c r="X18" s="64">
        <f t="shared" si="4"/>
        <v>194</v>
      </c>
      <c r="Y18" s="64">
        <f t="shared" si="4"/>
        <v>194</v>
      </c>
      <c r="Z18" s="64">
        <f t="shared" si="4"/>
        <v>194</v>
      </c>
      <c r="AA18" s="64">
        <f t="shared" si="4"/>
        <v>194</v>
      </c>
      <c r="AB18" s="64">
        <f t="shared" si="4"/>
        <v>0</v>
      </c>
      <c r="AC18" s="64">
        <f t="shared" si="4"/>
        <v>0</v>
      </c>
    </row>
    <row r="19" spans="2:29" x14ac:dyDescent="0.25">
      <c r="B19" s="2" t="s">
        <v>20</v>
      </c>
      <c r="C19" s="35">
        <f t="shared" ref="C19:AC19" si="5">0.25*C18</f>
        <v>48.5</v>
      </c>
      <c r="D19" s="35">
        <f t="shared" si="5"/>
        <v>48.5</v>
      </c>
      <c r="E19" s="35">
        <f t="shared" si="5"/>
        <v>48.5</v>
      </c>
      <c r="F19" s="35">
        <f t="shared" si="5"/>
        <v>48.5</v>
      </c>
      <c r="G19" s="35">
        <f t="shared" si="5"/>
        <v>48.5</v>
      </c>
      <c r="H19" s="35">
        <f t="shared" si="5"/>
        <v>48.5</v>
      </c>
      <c r="I19" s="35">
        <f t="shared" si="5"/>
        <v>48.5</v>
      </c>
      <c r="J19" s="35">
        <f t="shared" si="5"/>
        <v>48.5</v>
      </c>
      <c r="K19" s="35">
        <f t="shared" si="5"/>
        <v>48.5</v>
      </c>
      <c r="L19" s="35">
        <f t="shared" si="5"/>
        <v>48.5</v>
      </c>
      <c r="M19" s="35">
        <f t="shared" si="5"/>
        <v>48.5</v>
      </c>
      <c r="N19" s="35">
        <f t="shared" si="5"/>
        <v>48.5</v>
      </c>
      <c r="O19" s="35">
        <f t="shared" si="5"/>
        <v>48.5</v>
      </c>
      <c r="P19" s="35">
        <f t="shared" si="5"/>
        <v>48.5</v>
      </c>
      <c r="Q19" s="35">
        <f t="shared" si="5"/>
        <v>48.5</v>
      </c>
      <c r="R19" s="35">
        <f t="shared" si="5"/>
        <v>48.5</v>
      </c>
      <c r="S19" s="35">
        <f t="shared" si="5"/>
        <v>48.5</v>
      </c>
      <c r="T19" s="35">
        <f t="shared" si="5"/>
        <v>48.5</v>
      </c>
      <c r="U19" s="35">
        <f t="shared" si="5"/>
        <v>48.5</v>
      </c>
      <c r="V19" s="35">
        <f t="shared" si="5"/>
        <v>48.5</v>
      </c>
      <c r="W19" s="35">
        <f t="shared" si="5"/>
        <v>48.5</v>
      </c>
      <c r="X19" s="35">
        <f t="shared" si="5"/>
        <v>48.5</v>
      </c>
      <c r="Y19" s="35">
        <f t="shared" si="5"/>
        <v>48.5</v>
      </c>
      <c r="Z19" s="35">
        <f t="shared" si="5"/>
        <v>48.5</v>
      </c>
      <c r="AA19" s="35">
        <f t="shared" si="5"/>
        <v>48.5</v>
      </c>
      <c r="AB19" s="35">
        <f t="shared" si="5"/>
        <v>0</v>
      </c>
      <c r="AC19" s="35">
        <f t="shared" si="5"/>
        <v>0</v>
      </c>
    </row>
    <row r="20" spans="2:29" x14ac:dyDescent="0.25">
      <c r="B20" s="62" t="s">
        <v>4</v>
      </c>
      <c r="C20" s="64">
        <f t="shared" ref="C20:AC20" si="6">C18-C19</f>
        <v>145.5</v>
      </c>
      <c r="D20" s="64">
        <f t="shared" si="6"/>
        <v>145.5</v>
      </c>
      <c r="E20" s="64">
        <f t="shared" si="6"/>
        <v>145.5</v>
      </c>
      <c r="F20" s="64">
        <f t="shared" si="6"/>
        <v>145.5</v>
      </c>
      <c r="G20" s="64">
        <f t="shared" si="6"/>
        <v>145.5</v>
      </c>
      <c r="H20" s="64">
        <f t="shared" si="6"/>
        <v>145.5</v>
      </c>
      <c r="I20" s="64">
        <f t="shared" si="6"/>
        <v>145.5</v>
      </c>
      <c r="J20" s="64">
        <f t="shared" si="6"/>
        <v>145.5</v>
      </c>
      <c r="K20" s="64">
        <f t="shared" si="6"/>
        <v>145.5</v>
      </c>
      <c r="L20" s="64">
        <f t="shared" si="6"/>
        <v>145.5</v>
      </c>
      <c r="M20" s="64">
        <f t="shared" si="6"/>
        <v>145.5</v>
      </c>
      <c r="N20" s="64">
        <f t="shared" si="6"/>
        <v>145.5</v>
      </c>
      <c r="O20" s="64">
        <f t="shared" si="6"/>
        <v>145.5</v>
      </c>
      <c r="P20" s="64">
        <f t="shared" si="6"/>
        <v>145.5</v>
      </c>
      <c r="Q20" s="64">
        <f t="shared" si="6"/>
        <v>145.5</v>
      </c>
      <c r="R20" s="64">
        <f t="shared" si="6"/>
        <v>145.5</v>
      </c>
      <c r="S20" s="64">
        <f t="shared" si="6"/>
        <v>145.5</v>
      </c>
      <c r="T20" s="64">
        <f t="shared" si="6"/>
        <v>145.5</v>
      </c>
      <c r="U20" s="64">
        <f t="shared" si="6"/>
        <v>145.5</v>
      </c>
      <c r="V20" s="64">
        <f t="shared" si="6"/>
        <v>145.5</v>
      </c>
      <c r="W20" s="64">
        <f t="shared" si="6"/>
        <v>145.5</v>
      </c>
      <c r="X20" s="64">
        <f t="shared" si="6"/>
        <v>145.5</v>
      </c>
      <c r="Y20" s="64">
        <f t="shared" si="6"/>
        <v>145.5</v>
      </c>
      <c r="Z20" s="64">
        <f t="shared" si="6"/>
        <v>145.5</v>
      </c>
      <c r="AA20" s="64">
        <f t="shared" si="6"/>
        <v>145.5</v>
      </c>
      <c r="AB20" s="64">
        <f t="shared" si="6"/>
        <v>0</v>
      </c>
      <c r="AC20" s="64">
        <f t="shared" si="6"/>
        <v>0</v>
      </c>
    </row>
    <row r="21" spans="2:29" x14ac:dyDescent="0.25">
      <c r="B21" s="2" t="s">
        <v>57</v>
      </c>
      <c r="C21" s="35">
        <f>C15</f>
        <v>240</v>
      </c>
      <c r="D21" s="35">
        <f>D15</f>
        <v>240</v>
      </c>
      <c r="E21" s="35">
        <f>E15</f>
        <v>240</v>
      </c>
      <c r="F21" s="35">
        <f>F15</f>
        <v>240</v>
      </c>
      <c r="G21" s="35">
        <f>G15</f>
        <v>240</v>
      </c>
      <c r="H21" s="35">
        <f t="shared" ref="H21:AC21" si="7">H15</f>
        <v>240</v>
      </c>
      <c r="I21" s="35">
        <f t="shared" si="7"/>
        <v>240</v>
      </c>
      <c r="J21" s="35">
        <f t="shared" si="7"/>
        <v>240</v>
      </c>
      <c r="K21" s="35">
        <f t="shared" si="7"/>
        <v>240</v>
      </c>
      <c r="L21" s="35">
        <f t="shared" si="7"/>
        <v>240</v>
      </c>
      <c r="M21" s="35">
        <f t="shared" si="7"/>
        <v>240</v>
      </c>
      <c r="N21" s="35">
        <f t="shared" si="7"/>
        <v>240</v>
      </c>
      <c r="O21" s="35">
        <f t="shared" si="7"/>
        <v>240</v>
      </c>
      <c r="P21" s="35">
        <f t="shared" si="7"/>
        <v>240</v>
      </c>
      <c r="Q21" s="35">
        <f t="shared" si="7"/>
        <v>240</v>
      </c>
      <c r="R21" s="35">
        <f t="shared" si="7"/>
        <v>240</v>
      </c>
      <c r="S21" s="35">
        <f t="shared" si="7"/>
        <v>240</v>
      </c>
      <c r="T21" s="35">
        <f t="shared" si="7"/>
        <v>240</v>
      </c>
      <c r="U21" s="35">
        <f t="shared" si="7"/>
        <v>240</v>
      </c>
      <c r="V21" s="35">
        <f t="shared" si="7"/>
        <v>240</v>
      </c>
      <c r="W21" s="35">
        <f t="shared" si="7"/>
        <v>240</v>
      </c>
      <c r="X21" s="35">
        <f t="shared" si="7"/>
        <v>240</v>
      </c>
      <c r="Y21" s="35">
        <f t="shared" si="7"/>
        <v>240</v>
      </c>
      <c r="Z21" s="35">
        <f t="shared" si="7"/>
        <v>240</v>
      </c>
      <c r="AA21" s="35">
        <f t="shared" si="7"/>
        <v>240</v>
      </c>
      <c r="AB21" s="35">
        <f t="shared" si="7"/>
        <v>0</v>
      </c>
      <c r="AC21" s="35">
        <f t="shared" si="7"/>
        <v>0</v>
      </c>
    </row>
    <row r="22" spans="2:29" x14ac:dyDescent="0.25">
      <c r="B22" s="31" t="s">
        <v>45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/>
      <c r="S22" s="65"/>
      <c r="T22" s="65"/>
      <c r="U22" s="65"/>
      <c r="V22" s="65"/>
      <c r="W22" s="65"/>
      <c r="X22" s="65"/>
      <c r="Y22" s="65"/>
      <c r="Z22" s="65"/>
      <c r="AA22" s="64"/>
      <c r="AB22" s="64"/>
      <c r="AC22" s="64"/>
    </row>
    <row r="23" spans="2:29" x14ac:dyDescent="0.25">
      <c r="B23" s="2" t="s">
        <v>115</v>
      </c>
      <c r="C23" s="35"/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66"/>
      <c r="AC23" s="66"/>
    </row>
    <row r="24" spans="2:29" x14ac:dyDescent="0.25">
      <c r="B24" s="31" t="s">
        <v>33</v>
      </c>
      <c r="C24" s="65">
        <f>C29*0.5</f>
        <v>3000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4"/>
      <c r="AC24" s="64"/>
    </row>
    <row r="25" spans="2:29" x14ac:dyDescent="0.25">
      <c r="B25" s="1" t="s">
        <v>5</v>
      </c>
      <c r="C25" s="66">
        <f t="shared" ref="C25:H25" si="8">C20+SUM(C21:C24)</f>
        <v>3385.5</v>
      </c>
      <c r="D25" s="66">
        <f t="shared" si="8"/>
        <v>385.5</v>
      </c>
      <c r="E25" s="66">
        <f t="shared" si="8"/>
        <v>385.5</v>
      </c>
      <c r="F25" s="66">
        <f t="shared" si="8"/>
        <v>385.5</v>
      </c>
      <c r="G25" s="66">
        <f t="shared" si="8"/>
        <v>385.5</v>
      </c>
      <c r="H25" s="66">
        <f t="shared" si="8"/>
        <v>385.5</v>
      </c>
      <c r="I25" s="66">
        <f t="shared" ref="I25:AC25" si="9">I20+SUM(I21:I24)</f>
        <v>385.5</v>
      </c>
      <c r="J25" s="66">
        <f t="shared" si="9"/>
        <v>385.5</v>
      </c>
      <c r="K25" s="66">
        <f t="shared" si="9"/>
        <v>385.5</v>
      </c>
      <c r="L25" s="66">
        <f t="shared" si="9"/>
        <v>385.5</v>
      </c>
      <c r="M25" s="66">
        <f t="shared" si="9"/>
        <v>385.5</v>
      </c>
      <c r="N25" s="66">
        <f t="shared" si="9"/>
        <v>385.5</v>
      </c>
      <c r="O25" s="66">
        <f t="shared" si="9"/>
        <v>385.5</v>
      </c>
      <c r="P25" s="66">
        <f t="shared" si="9"/>
        <v>385.5</v>
      </c>
      <c r="Q25" s="66">
        <f t="shared" si="9"/>
        <v>385.5</v>
      </c>
      <c r="R25" s="66">
        <f t="shared" si="9"/>
        <v>385.5</v>
      </c>
      <c r="S25" s="66">
        <f t="shared" si="9"/>
        <v>385.5</v>
      </c>
      <c r="T25" s="66">
        <f t="shared" si="9"/>
        <v>385.5</v>
      </c>
      <c r="U25" s="66">
        <f t="shared" si="9"/>
        <v>385.5</v>
      </c>
      <c r="V25" s="66">
        <f t="shared" si="9"/>
        <v>385.5</v>
      </c>
      <c r="W25" s="66">
        <f t="shared" si="9"/>
        <v>385.5</v>
      </c>
      <c r="X25" s="66">
        <f t="shared" si="9"/>
        <v>385.5</v>
      </c>
      <c r="Y25" s="66">
        <f t="shared" si="9"/>
        <v>385.5</v>
      </c>
      <c r="Z25" s="66">
        <f t="shared" si="9"/>
        <v>385.5</v>
      </c>
      <c r="AA25" s="66">
        <f t="shared" si="9"/>
        <v>385.5</v>
      </c>
      <c r="AB25" s="66">
        <f t="shared" si="9"/>
        <v>0</v>
      </c>
      <c r="AC25" s="66">
        <f t="shared" si="9"/>
        <v>0</v>
      </c>
    </row>
    <row r="26" spans="2:29" x14ac:dyDescent="0.25"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</row>
    <row r="27" spans="2:29" s="113" customFormat="1" x14ac:dyDescent="0.25">
      <c r="B27" s="114" t="s">
        <v>27</v>
      </c>
      <c r="C27" s="114"/>
      <c r="D27" s="114" t="s">
        <v>44</v>
      </c>
      <c r="E27" s="90" t="s">
        <v>0</v>
      </c>
      <c r="F27" s="90" t="s">
        <v>226</v>
      </c>
      <c r="G27" s="90" t="s">
        <v>227</v>
      </c>
      <c r="H27" s="90" t="s">
        <v>228</v>
      </c>
      <c r="I27" s="90" t="s">
        <v>229</v>
      </c>
      <c r="J27" s="90" t="s">
        <v>230</v>
      </c>
      <c r="K27" s="90" t="s">
        <v>231</v>
      </c>
      <c r="L27" s="90" t="s">
        <v>232</v>
      </c>
      <c r="M27" s="90" t="s">
        <v>233</v>
      </c>
      <c r="N27" s="90" t="s">
        <v>234</v>
      </c>
      <c r="O27" s="90" t="s">
        <v>235</v>
      </c>
      <c r="P27" s="90" t="s">
        <v>236</v>
      </c>
      <c r="Q27" s="90" t="s">
        <v>237</v>
      </c>
      <c r="R27" s="90" t="s">
        <v>238</v>
      </c>
      <c r="S27" s="90" t="s">
        <v>239</v>
      </c>
      <c r="T27" s="90" t="s">
        <v>240</v>
      </c>
      <c r="U27" s="90" t="s">
        <v>241</v>
      </c>
      <c r="V27" s="90" t="s">
        <v>242</v>
      </c>
      <c r="W27" s="90" t="s">
        <v>243</v>
      </c>
      <c r="X27" s="90" t="s">
        <v>244</v>
      </c>
      <c r="Y27" s="90" t="s">
        <v>245</v>
      </c>
      <c r="Z27" s="90" t="s">
        <v>246</v>
      </c>
      <c r="AA27" s="90" t="s">
        <v>247</v>
      </c>
      <c r="AB27" s="90" t="s">
        <v>248</v>
      </c>
      <c r="AC27" s="90" t="s">
        <v>249</v>
      </c>
    </row>
    <row r="28" spans="2:29" x14ac:dyDescent="0.25">
      <c r="B28" s="7" t="s">
        <v>7</v>
      </c>
      <c r="C28" s="8">
        <f>SUM(C25:AP25)</f>
        <v>12637.5</v>
      </c>
      <c r="D28" s="6" t="s">
        <v>29</v>
      </c>
      <c r="E28" s="10">
        <f>C25-C29</f>
        <v>-2614.5</v>
      </c>
      <c r="F28" s="10">
        <f>E28+D25</f>
        <v>-2229</v>
      </c>
      <c r="G28" s="10">
        <f t="shared" ref="G28:AC28" si="10">F28+E25</f>
        <v>-1843.5</v>
      </c>
      <c r="H28" s="10">
        <f t="shared" si="10"/>
        <v>-1458</v>
      </c>
      <c r="I28" s="10">
        <f t="shared" si="10"/>
        <v>-1072.5</v>
      </c>
      <c r="J28" s="10">
        <f t="shared" si="10"/>
        <v>-687</v>
      </c>
      <c r="K28" s="10">
        <f t="shared" si="10"/>
        <v>-301.5</v>
      </c>
      <c r="L28" s="10">
        <f t="shared" si="10"/>
        <v>84</v>
      </c>
      <c r="M28" s="10">
        <f t="shared" si="10"/>
        <v>469.5</v>
      </c>
      <c r="N28" s="10">
        <f t="shared" si="10"/>
        <v>855</v>
      </c>
      <c r="O28" s="10">
        <f t="shared" si="10"/>
        <v>1240.5</v>
      </c>
      <c r="P28" s="10">
        <f t="shared" si="10"/>
        <v>1626</v>
      </c>
      <c r="Q28" s="10">
        <f t="shared" si="10"/>
        <v>2011.5</v>
      </c>
      <c r="R28" s="10">
        <f t="shared" si="10"/>
        <v>2397</v>
      </c>
      <c r="S28" s="10">
        <f t="shared" si="10"/>
        <v>2782.5</v>
      </c>
      <c r="T28" s="10">
        <f t="shared" si="10"/>
        <v>3168</v>
      </c>
      <c r="U28" s="10">
        <f t="shared" si="10"/>
        <v>3553.5</v>
      </c>
      <c r="V28" s="10">
        <f t="shared" si="10"/>
        <v>3939</v>
      </c>
      <c r="W28" s="10">
        <f t="shared" si="10"/>
        <v>4324.5</v>
      </c>
      <c r="X28" s="10">
        <f t="shared" si="10"/>
        <v>4710</v>
      </c>
      <c r="Y28" s="10">
        <f t="shared" si="10"/>
        <v>5095.5</v>
      </c>
      <c r="Z28" s="10">
        <f t="shared" si="10"/>
        <v>5481</v>
      </c>
      <c r="AA28" s="10">
        <f t="shared" si="10"/>
        <v>5866.5</v>
      </c>
      <c r="AB28" s="10">
        <f t="shared" si="10"/>
        <v>6252</v>
      </c>
      <c r="AC28" s="10">
        <f t="shared" si="10"/>
        <v>6637.5</v>
      </c>
    </row>
    <row r="29" spans="2:29" x14ac:dyDescent="0.25">
      <c r="B29" s="7" t="s">
        <v>32</v>
      </c>
      <c r="C29" s="8">
        <v>6000</v>
      </c>
      <c r="D29" s="5"/>
      <c r="G29" t="s">
        <v>168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29" x14ac:dyDescent="0.25">
      <c r="B30" s="7" t="s">
        <v>18</v>
      </c>
      <c r="C30" s="8"/>
      <c r="D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9" x14ac:dyDescent="0.25">
      <c r="B31" s="7" t="s">
        <v>8</v>
      </c>
      <c r="C31" s="8">
        <f>C28-C29</f>
        <v>6637.5</v>
      </c>
      <c r="D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x14ac:dyDescent="0.25">
      <c r="B32" s="29" t="s">
        <v>10</v>
      </c>
      <c r="C32" s="15">
        <f>C31/C29*100%</f>
        <v>1.10625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9" x14ac:dyDescent="0.25">
      <c r="B33" s="19"/>
      <c r="C33" s="2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9" x14ac:dyDescent="0.25">
      <c r="B34" t="s">
        <v>31</v>
      </c>
      <c r="C34" s="4">
        <v>0.05</v>
      </c>
      <c r="D34" s="6"/>
      <c r="E34" s="6"/>
    </row>
    <row r="35" spans="2:29" x14ac:dyDescent="0.25">
      <c r="B35" s="1" t="s">
        <v>6</v>
      </c>
      <c r="C35" s="5">
        <f>C25/(1+$C34)</f>
        <v>3224.2857142857142</v>
      </c>
      <c r="D35" s="5">
        <f>D25/(1+$C34)^2</f>
        <v>349.65986394557819</v>
      </c>
      <c r="E35" s="5">
        <f>E25/(1+$C34)^3</f>
        <v>333.009394233884</v>
      </c>
      <c r="F35" s="5">
        <f>F25/(1+$C34)^4</f>
        <v>317.15180403227049</v>
      </c>
      <c r="G35" s="5">
        <f>G25/(1+$C34)^5</f>
        <v>302.04933717359091</v>
      </c>
      <c r="H35" s="5">
        <f>H25/(1+$C34)^6</f>
        <v>287.66603540341998</v>
      </c>
      <c r="I35" s="5">
        <f>I25/(1+$C34)^7</f>
        <v>273.9676527651618</v>
      </c>
      <c r="J35" s="5">
        <f>J25/(1+$C34)^8</f>
        <v>260.92157406205888</v>
      </c>
      <c r="K35" s="5">
        <f>K25/(1+$C34)^9</f>
        <v>248.49673720196085</v>
      </c>
      <c r="L35" s="5">
        <f>L25/(1+$C34)^10</f>
        <v>236.66355923996272</v>
      </c>
      <c r="M35" s="5">
        <f>M25/(1+$C34)^11</f>
        <v>225.39386594282161</v>
      </c>
      <c r="N35" s="5">
        <f>N25/(1+$C34)^12</f>
        <v>214.66082470744919</v>
      </c>
      <c r="O35" s="5">
        <f>O25/(1+$C34)^13</f>
        <v>204.4388806737611</v>
      </c>
      <c r="P35" s="5">
        <f>P25/(1+$C34)^14</f>
        <v>194.70369587977251</v>
      </c>
      <c r="Q35" s="5">
        <f>Q25/(1+$C34)^15</f>
        <v>185.432091314069</v>
      </c>
      <c r="R35" s="5">
        <f>R25/(1+$C34)^16</f>
        <v>176.60199172768478</v>
      </c>
      <c r="S35" s="5">
        <f>S25/(1+$C34)^17</f>
        <v>168.19237307398549</v>
      </c>
      <c r="T35" s="5">
        <f>T25/(1+$C34)^18</f>
        <v>160.18321245141476</v>
      </c>
      <c r="U35" s="5">
        <f>U25/(1+$C34)^19</f>
        <v>152.5554404299188</v>
      </c>
      <c r="V35" s="5">
        <f>V25/(1+$C34)^20</f>
        <v>145.29089564754173</v>
      </c>
      <c r="W35" s="5">
        <f>W25/(1+$C34)^21</f>
        <v>138.37228156908736</v>
      </c>
      <c r="X35" s="5">
        <f>X25/(1+$C34)^22</f>
        <v>131.78312530389275</v>
      </c>
      <c r="Y35" s="5">
        <f>Y25/(1+$C34)^23</f>
        <v>125.50773838465973</v>
      </c>
      <c r="Z35" s="5">
        <f>Z25/(1+$C34)^24</f>
        <v>119.53117941396165</v>
      </c>
      <c r="AA35" s="5">
        <f>AA25/(1+$C34)^25</f>
        <v>113.83921848948729</v>
      </c>
      <c r="AB35" s="5">
        <f>AB25/(1+$C34)^26</f>
        <v>0</v>
      </c>
      <c r="AC35" s="5">
        <f>AC25/(1+$C34)^27</f>
        <v>0</v>
      </c>
    </row>
    <row r="36" spans="2:29" x14ac:dyDescent="0.25">
      <c r="B36" s="1"/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9" s="113" customFormat="1" x14ac:dyDescent="0.25">
      <c r="B37" s="123" t="s">
        <v>28</v>
      </c>
      <c r="C37" s="126"/>
      <c r="D37" s="128" t="s">
        <v>44</v>
      </c>
      <c r="E37" s="90" t="s">
        <v>0</v>
      </c>
      <c r="F37" s="90" t="s">
        <v>226</v>
      </c>
      <c r="G37" s="90" t="s">
        <v>227</v>
      </c>
      <c r="H37" s="90" t="s">
        <v>228</v>
      </c>
      <c r="I37" s="90" t="s">
        <v>229</v>
      </c>
      <c r="J37" s="90" t="s">
        <v>230</v>
      </c>
      <c r="K37" s="90" t="s">
        <v>231</v>
      </c>
      <c r="L37" s="90" t="s">
        <v>232</v>
      </c>
      <c r="M37" s="90" t="s">
        <v>233</v>
      </c>
      <c r="N37" s="90" t="s">
        <v>234</v>
      </c>
      <c r="O37" s="90" t="s">
        <v>235</v>
      </c>
      <c r="P37" s="90" t="s">
        <v>236</v>
      </c>
      <c r="Q37" s="90" t="s">
        <v>237</v>
      </c>
      <c r="R37" s="90" t="s">
        <v>238</v>
      </c>
      <c r="S37" s="90" t="s">
        <v>239</v>
      </c>
      <c r="T37" s="90" t="s">
        <v>240</v>
      </c>
      <c r="U37" s="90" t="s">
        <v>241</v>
      </c>
      <c r="V37" s="90" t="s">
        <v>242</v>
      </c>
      <c r="W37" s="90" t="s">
        <v>243</v>
      </c>
      <c r="X37" s="90" t="s">
        <v>244</v>
      </c>
      <c r="Y37" s="90" t="s">
        <v>245</v>
      </c>
      <c r="Z37" s="90" t="s">
        <v>246</v>
      </c>
      <c r="AA37" s="90" t="s">
        <v>247</v>
      </c>
      <c r="AB37" s="90" t="s">
        <v>248</v>
      </c>
      <c r="AC37" s="90" t="s">
        <v>249</v>
      </c>
    </row>
    <row r="38" spans="2:29" x14ac:dyDescent="0.25">
      <c r="B38" s="7" t="s">
        <v>15</v>
      </c>
      <c r="C38" s="8">
        <f>SUM(C35:AP35)</f>
        <v>8290.3584873531108</v>
      </c>
      <c r="D38" s="6" t="s">
        <v>30</v>
      </c>
      <c r="E38" s="10">
        <f>C35-C39</f>
        <v>-2775.7142857142858</v>
      </c>
      <c r="F38" s="10">
        <f>E38+D35</f>
        <v>-2426.0544217687075</v>
      </c>
      <c r="G38" s="10">
        <f t="shared" ref="G38:AC38" si="11">F38+E35</f>
        <v>-2093.0450275348235</v>
      </c>
      <c r="H38" s="10">
        <f t="shared" si="11"/>
        <v>-1775.8932235025529</v>
      </c>
      <c r="I38" s="10">
        <f t="shared" si="11"/>
        <v>-1473.8438863289621</v>
      </c>
      <c r="J38" s="10">
        <f t="shared" si="11"/>
        <v>-1186.1778509255421</v>
      </c>
      <c r="K38" s="10">
        <f t="shared" si="11"/>
        <v>-912.21019816038029</v>
      </c>
      <c r="L38" s="10">
        <f t="shared" si="11"/>
        <v>-651.28862409832141</v>
      </c>
      <c r="M38" s="10">
        <f t="shared" si="11"/>
        <v>-402.79188689636055</v>
      </c>
      <c r="N38" s="10">
        <f t="shared" si="11"/>
        <v>-166.12832765639783</v>
      </c>
      <c r="O38" s="10">
        <f t="shared" si="11"/>
        <v>59.265538286423777</v>
      </c>
      <c r="P38" s="10">
        <f t="shared" si="11"/>
        <v>273.926362993873</v>
      </c>
      <c r="Q38" s="10">
        <f t="shared" si="11"/>
        <v>478.3652436676341</v>
      </c>
      <c r="R38" s="10">
        <f t="shared" si="11"/>
        <v>673.06893954740667</v>
      </c>
      <c r="S38" s="10">
        <f t="shared" si="11"/>
        <v>858.50103086147567</v>
      </c>
      <c r="T38" s="10">
        <f t="shared" si="11"/>
        <v>1035.1030225891604</v>
      </c>
      <c r="U38" s="10">
        <f t="shared" si="11"/>
        <v>1203.2953956631459</v>
      </c>
      <c r="V38" s="10">
        <f t="shared" si="11"/>
        <v>1363.4786081145608</v>
      </c>
      <c r="W38" s="10">
        <f t="shared" si="11"/>
        <v>1516.0340485444794</v>
      </c>
      <c r="X38" s="10">
        <f t="shared" si="11"/>
        <v>1661.3249441920211</v>
      </c>
      <c r="Y38" s="10">
        <f t="shared" si="11"/>
        <v>1799.6972257611085</v>
      </c>
      <c r="Z38" s="10">
        <f t="shared" si="11"/>
        <v>1931.4803510650013</v>
      </c>
      <c r="AA38" s="10">
        <f t="shared" si="11"/>
        <v>2056.9880894496609</v>
      </c>
      <c r="AB38" s="10">
        <f t="shared" si="11"/>
        <v>2176.5192688636225</v>
      </c>
      <c r="AC38" s="10">
        <f t="shared" si="11"/>
        <v>2290.3584873531099</v>
      </c>
    </row>
    <row r="39" spans="2:29" x14ac:dyDescent="0.25">
      <c r="B39" s="7" t="s">
        <v>17</v>
      </c>
      <c r="C39" s="8">
        <f>C29</f>
        <v>6000</v>
      </c>
      <c r="D39" s="6"/>
      <c r="G39" t="s">
        <v>60</v>
      </c>
    </row>
    <row r="40" spans="2:29" x14ac:dyDescent="0.25">
      <c r="B40" s="7" t="s">
        <v>18</v>
      </c>
      <c r="C40" s="8"/>
      <c r="D40" s="6"/>
    </row>
    <row r="41" spans="2:29" x14ac:dyDescent="0.25">
      <c r="B41" s="7" t="s">
        <v>14</v>
      </c>
      <c r="C41" s="8">
        <f>C38-C39</f>
        <v>2290.3584873531108</v>
      </c>
      <c r="D41" s="6"/>
    </row>
    <row r="42" spans="2:29" x14ac:dyDescent="0.25">
      <c r="B42" s="29" t="s">
        <v>9</v>
      </c>
      <c r="C42" s="15">
        <f>(C41/C39)*100%</f>
        <v>0.38172641455885181</v>
      </c>
      <c r="D42" s="5" t="s">
        <v>167</v>
      </c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9" ht="15.75" thickBot="1" x14ac:dyDescent="0.3"/>
    <row r="44" spans="2:29" x14ac:dyDescent="0.25">
      <c r="B44" s="83" t="s">
        <v>155</v>
      </c>
      <c r="C44" s="88"/>
    </row>
    <row r="45" spans="2:29" x14ac:dyDescent="0.25">
      <c r="B45" s="42" t="s">
        <v>151</v>
      </c>
      <c r="C45" s="43" t="s">
        <v>223</v>
      </c>
    </row>
    <row r="46" spans="2:29" x14ac:dyDescent="0.25">
      <c r="B46" s="42" t="s">
        <v>152</v>
      </c>
      <c r="C46" s="43" t="s">
        <v>157</v>
      </c>
    </row>
    <row r="47" spans="2:29" x14ac:dyDescent="0.25">
      <c r="B47" s="44"/>
      <c r="C47" s="45"/>
    </row>
    <row r="48" spans="2:29" x14ac:dyDescent="0.25">
      <c r="B48" s="84" t="s">
        <v>156</v>
      </c>
      <c r="C48" s="108"/>
    </row>
    <row r="49" spans="2:3" x14ac:dyDescent="0.25">
      <c r="B49" s="42" t="s">
        <v>153</v>
      </c>
      <c r="C49" s="43" t="s">
        <v>222</v>
      </c>
    </row>
    <row r="50" spans="2:3" ht="15.75" thickBot="1" x14ac:dyDescent="0.3">
      <c r="B50" s="46" t="s">
        <v>154</v>
      </c>
      <c r="C50" s="47" t="s">
        <v>220</v>
      </c>
    </row>
  </sheetData>
  <phoneticPr fontId="6" type="noConversion"/>
  <pageMargins left="0.7" right="0.7" top="0.75" bottom="0.75" header="0.3" footer="0.3"/>
  <pageSetup paperSize="9" orientation="portrait" horizontalDpi="4294967293" verticalDpi="0" r:id="rId1"/>
  <ignoredErrors>
    <ignoredError sqref="C19:AC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5FD877046164A8D6816CD1196BE72" ma:contentTypeVersion="13" ma:contentTypeDescription="Create a new document." ma:contentTypeScope="" ma:versionID="40f86302c355328f5daaa792f373aac4">
  <xsd:schema xmlns:xsd="http://www.w3.org/2001/XMLSchema" xmlns:xs="http://www.w3.org/2001/XMLSchema" xmlns:p="http://schemas.microsoft.com/office/2006/metadata/properties" xmlns:ns3="1b07eeae-6c68-4793-9440-6f81c79416d0" xmlns:ns4="96f0d025-ccce-4d18-b0ac-4701882271ca" targetNamespace="http://schemas.microsoft.com/office/2006/metadata/properties" ma:root="true" ma:fieldsID="054bc2420499144cc88050fb36ec564b" ns3:_="" ns4:_="">
    <xsd:import namespace="1b07eeae-6c68-4793-9440-6f81c79416d0"/>
    <xsd:import namespace="96f0d025-ccce-4d18-b0ac-4701882271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7eeae-6c68-4793-9440-6f81c7941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0d025-ccce-4d18-b0ac-4701882271c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8F4EB9-C001-4BE4-94AE-0580D76E7780}">
  <ds:schemaRefs>
    <ds:schemaRef ds:uri="http://purl.org/dc/elements/1.1/"/>
    <ds:schemaRef ds:uri="http://schemas.microsoft.com/office/2006/metadata/properties"/>
    <ds:schemaRef ds:uri="1b07eeae-6c68-4793-9440-6f81c79416d0"/>
    <ds:schemaRef ds:uri="http://purl.org/dc/terms/"/>
    <ds:schemaRef ds:uri="96f0d025-ccce-4d18-b0ac-4701882271ca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DF7CD2-E1C0-4239-98A5-B6B7CA49B1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D9A658-8DFC-4281-9BC3-6BEC996C45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7eeae-6c68-4793-9440-6f81c79416d0"/>
    <ds:schemaRef ds:uri="96f0d025-ccce-4d18-b0ac-4701882271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31</vt:i4>
      </vt:variant>
    </vt:vector>
  </HeadingPairs>
  <TitlesOfParts>
    <vt:vector size="31" baseType="lpstr">
      <vt:lpstr>BC Ecologische Isolatie</vt:lpstr>
      <vt:lpstr>Weegmatrix ecologische Isolatie</vt:lpstr>
      <vt:lpstr>BC Gevel+Vloerisolatie</vt:lpstr>
      <vt:lpstr>Weegmatrix Gevel+Vloerisolatie</vt:lpstr>
      <vt:lpstr>BC Vacuumbeglazing</vt:lpstr>
      <vt:lpstr>Weegmatrix vacuumbeglazing</vt:lpstr>
      <vt:lpstr>BC PV-basis</vt:lpstr>
      <vt:lpstr>Weegmatrix PV-basis</vt:lpstr>
      <vt:lpstr>BC PV-design</vt:lpstr>
      <vt:lpstr>Weegmatrix PV-design</vt:lpstr>
      <vt:lpstr>BC Zonneboiler</vt:lpstr>
      <vt:lpstr>Weegmatrix Zonneboiler</vt:lpstr>
      <vt:lpstr>BC WP-LW</vt:lpstr>
      <vt:lpstr>Weegmatrix WP-LW</vt:lpstr>
      <vt:lpstr>BC WP-LW-grotere zaak</vt:lpstr>
      <vt:lpstr>Weegmatrix WP LW-groot</vt:lpstr>
      <vt:lpstr>BC Warmtepomp-LW-hybride</vt:lpstr>
      <vt:lpstr>Weegmatrix warmtepomp hybride</vt:lpstr>
      <vt:lpstr>BC Combi PVT - WP - buffervat</vt:lpstr>
      <vt:lpstr>Weegmatrix PVT WP buffervat</vt:lpstr>
      <vt:lpstr>BC WP boiler + PV</vt:lpstr>
      <vt:lpstr>Weegmatrix WP boiler + PV</vt:lpstr>
      <vt:lpstr>BC LED</vt:lpstr>
      <vt:lpstr>Weegmatrix LED</vt:lpstr>
      <vt:lpstr>BC Batterij</vt:lpstr>
      <vt:lpstr>Weegmatrix Batterij</vt:lpstr>
      <vt:lpstr>BC maatwerk Batterij</vt:lpstr>
      <vt:lpstr>BC-Brandstofcel</vt:lpstr>
      <vt:lpstr>Weegmatrix Brandstofcel</vt:lpstr>
      <vt:lpstr>BC WP-WW-BEO-WKO</vt:lpstr>
      <vt:lpstr>Weegmatrix WP Beo-grond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Vriens</dc:creator>
  <cp:lastModifiedBy>Ad Breukel</cp:lastModifiedBy>
  <dcterms:created xsi:type="dcterms:W3CDTF">2019-05-06T07:31:53Z</dcterms:created>
  <dcterms:modified xsi:type="dcterms:W3CDTF">2022-12-07T15:44:06Z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0x0101005985FD877046164A8D6816CD1196BE72</vt:lpwstr>
  </property>
</Properties>
</file>